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trccompanies-my.sharepoint.com/personal/rgupta_trcsolutions_com/Documents/Documents/Desktop/"/>
    </mc:Choice>
  </mc:AlternateContent>
  <xr:revisionPtr revIDLastSave="0" documentId="8_{4477324D-4B8C-4793-AF89-5FD6DB49388F}" xr6:coauthVersionLast="47" xr6:coauthVersionMax="47" xr10:uidLastSave="{00000000-0000-0000-0000-000000000000}"/>
  <workbookProtection workbookAlgorithmName="SHA-512" workbookHashValue="9OjqTkBssTcs5RYAqXTuh4VTUknlhbL2O/JR+7fkPZFwYrTZNIRwURSYi3ijvsBDqYLZgcmIntfOlvfnohF/mA==" workbookSaltValue="dH6dT4hyAjuJYxCtoPugfA==" workbookSpinCount="100000" lockStructure="1"/>
  <bookViews>
    <workbookView xWindow="8970" yWindow="2460" windowWidth="36375" windowHeight="19230" tabRatio="820" activeTab="8" xr2:uid="{D8AA11EE-AF32-4548-AD8F-E40F97760424}"/>
  </bookViews>
  <sheets>
    <sheet name="About" sheetId="7" r:id="rId1"/>
    <sheet name="Revision" sheetId="34" state="hidden" r:id="rId2"/>
    <sheet name="Instructions &amp; Info" sheetId="13" r:id="rId3"/>
    <sheet name="Notes" sheetId="33" r:id="rId4"/>
    <sheet name="Property Information" sheetId="1" r:id="rId5"/>
    <sheet name="Existing Systems and Loads" sheetId="10" r:id="rId6"/>
    <sheet name="Electrification Upgrades" sheetId="18" r:id="rId7"/>
    <sheet name="Panel Impacts and Rec's." sheetId="3" r:id="rId8"/>
    <sheet name="Opt. 1 - Low-Power Appliances" sheetId="12" r:id="rId9"/>
    <sheet name="Opt. 2 - Right-Size HVAC" sheetId="29" r:id="rId10"/>
    <sheet name="Opt. 3 - Load Mgmt" sheetId="26" r:id="rId11"/>
    <sheet name="Panel Load - Baseline" sheetId="23" state="hidden" r:id="rId12"/>
    <sheet name="Panel Load - Goal" sheetId="24" state="hidden" r:id="rId13"/>
    <sheet name="Panel Load - Opt1" sheetId="25" state="hidden" r:id="rId14"/>
    <sheet name="Panel Load - Opt2" sheetId="30" state="hidden" r:id="rId15"/>
    <sheet name="Panel Load - Opt3a" sheetId="28" state="hidden" r:id="rId16"/>
    <sheet name="Panel Load - Opt3b" sheetId="27" state="hidden" r:id="rId17"/>
    <sheet name="Panel Load - Opt3c" sheetId="31" state="hidden" r:id="rId18"/>
    <sheet name="Reference" sheetId="6" state="hidden" r:id="rId19"/>
    <sheet name="Reference2" sheetId="19" state="hidden" r:id="rId20"/>
    <sheet name="Reference3" sheetId="22" state="hidden" r:id="rId21"/>
    <sheet name="Panel Calc Resources" sheetId="32" state="hidden" r:id="rId22"/>
    <sheet name="Sheet1" sheetId="17" state="hidden" r:id="rId23"/>
  </sheets>
  <definedNames>
    <definedName name="__LCL1">#REF!</definedName>
    <definedName name="__LCL2">#REF!</definedName>
    <definedName name="BasePanel">'Panel Calc Resources'!$P$8</definedName>
    <definedName name="ElectHVAC">'Panel Calc Resources'!$P$11</definedName>
    <definedName name="ElectLM">'Panel Calc Resources'!$P$12</definedName>
    <definedName name="ElectLPA">'Panel Calc Resources'!$P$10</definedName>
    <definedName name="ElectNewPanel">'Panel Calc Resources'!$P$9</definedName>
    <definedName name="ØA1">#REF!</definedName>
    <definedName name="ØA2">#REF!</definedName>
    <definedName name="ØB1">#REF!</definedName>
    <definedName name="ØB2">#REF!</definedName>
    <definedName name="ØC1">#REF!</definedName>
    <definedName name="ØC2">#REF!</definedName>
    <definedName name="TOTALS">#REF!</definedName>
    <definedName name="XL2CAD_2006112810371300">#REF!</definedName>
    <definedName name="XL2CAD_2007010913340800">#REF!</definedName>
    <definedName name="XL2CAD_2007011512545900">#REF!</definedName>
    <definedName name="XL2CAD_2007081316093800">#REF!</definedName>
    <definedName name="XL2CAD_2007081316120600">#REF!</definedName>
    <definedName name="XL2CAD_2007081316125500">#REF!</definedName>
    <definedName name="XL2CAD_2007081316133300">#REF!</definedName>
    <definedName name="XL2CAD_2007081316142900">#REF!</definedName>
    <definedName name="XL2CAD_2007081316150900">#REF!</definedName>
    <definedName name="XL2CAD_2007081316154800">#REF!</definedName>
    <definedName name="XL2CAD_2007081316162300">#REF!</definedName>
    <definedName name="XL2CAD_2007081407261500">#REF!</definedName>
    <definedName name="XL2CAD_2007081407272000">#REF!</definedName>
    <definedName name="XL2CAD_2007082314482900">#REF!</definedName>
    <definedName name="XL2CAD_2007082315071100">#REF!</definedName>
    <definedName name="XL2CAD_2007082409432200">#REF!</definedName>
    <definedName name="XL2CAD_2007090711273200">#REF!</definedName>
    <definedName name="XL2CAD_2007091313544600">#REF!</definedName>
    <definedName name="XL2CAD_2007091313573800">#REF!</definedName>
    <definedName name="XL2CAD_2007091408473800">#REF!</definedName>
    <definedName name="XL2CAD_2007091408490500">#REF!</definedName>
    <definedName name="XL2CAD_2007091911023700">#REF!</definedName>
    <definedName name="XL2CAD_2007091912434700">#REF!</definedName>
    <definedName name="XL2CAD_2007091913120000">#REF!</definedName>
    <definedName name="XL2CAD_2007091913133100">#REF!</definedName>
    <definedName name="XL2CAD_2007091913142300">#REF!</definedName>
    <definedName name="XL2CAD_2007092012290800">#REF!</definedName>
    <definedName name="XL2CAD_2007092013300900">#REF!</definedName>
    <definedName name="XL2CAD_2007092013304300">#REF!</definedName>
    <definedName name="XL2CAD_2007102407504900">#REF!</definedName>
    <definedName name="XL2CAD_2007102407550700">#REF!</definedName>
    <definedName name="XL2CAD_2008041010044500">#REF!</definedName>
    <definedName name="XL2CAD_2008061112553900">#REF!</definedName>
    <definedName name="XL2CAD_2008061112562300">#REF!</definedName>
    <definedName name="XL2CAD_2008061112565400">#REF!</definedName>
    <definedName name="XL2CAD_2008061112572700">#REF!</definedName>
    <definedName name="XL2CAD_2008061112591100">#REF!</definedName>
    <definedName name="XL2CAD_2008061112594400">#REF!</definedName>
    <definedName name="XL2CAD_2008061113001700">#REF!</definedName>
    <definedName name="XL2CAD_2008061113004600">#REF!</definedName>
    <definedName name="XL2CAD_2008081310383500">#REF!</definedName>
    <definedName name="XL2CAD_2008081310391800">#REF!</definedName>
    <definedName name="XL2CAD_2008092507501100">#REF!</definedName>
    <definedName name="XL2CAD_2008101011170000">#REF!</definedName>
    <definedName name="XL2CAD_2009051910391900">#REF!</definedName>
    <definedName name="XL2CAD_2009051910403400">#REF!</definedName>
    <definedName name="XL2CAD_2009051910441800">#REF!</definedName>
    <definedName name="XL2CAD_2009051910471200">#REF!</definedName>
    <definedName name="XL2CAD_2009051910504300">#REF!</definedName>
    <definedName name="XL2CAD_2009051910515000">#REF!</definedName>
    <definedName name="XL2CAD_2009051914094900">#REF!</definedName>
    <definedName name="XL2CAD_2009051914104300">#REF!</definedName>
    <definedName name="XL2CAD_2009052008455500">#REF!</definedName>
    <definedName name="XL2CAD_2009052707443700">#REF!</definedName>
    <definedName name="XL2CAD_2009052707450600">#REF!</definedName>
    <definedName name="XL2CAD_2009052707470000">#REF!</definedName>
    <definedName name="XL2CAD_2009052707515500">#REF!</definedName>
    <definedName name="XL2CAD_2009052708222100">#REF!</definedName>
    <definedName name="XL2CAD_2009060509404700">#REF!</definedName>
    <definedName name="XL2CAD_2009060509413900">#REF!</definedName>
    <definedName name="XL2CAD_2009060509421500">#REF!</definedName>
    <definedName name="XL2CAD_2009060509431500">#REF!</definedName>
    <definedName name="XL2CAD_2009060509441200">#REF!</definedName>
    <definedName name="XL2CAD_2009060509445200">#REF!</definedName>
    <definedName name="XL2CAD_2009060509460000">#REF!</definedName>
    <definedName name="XL2CAD_2009060509465300">#REF!</definedName>
    <definedName name="XL2CAD_2009060509473900">#REF!</definedName>
    <definedName name="XL2CAD_2009060509482400">#REF!</definedName>
    <definedName name="XL2CAD_2009060816554500">#REF!</definedName>
    <definedName name="XL2CAD_2009061013422700">#REF!</definedName>
    <definedName name="XL2CAD_2009061013470500">#REF!</definedName>
    <definedName name="XL2CAD_2009061013474200">#REF!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10" l="1"/>
  <c r="I16" i="10"/>
  <c r="H16" i="10"/>
  <c r="A12" i="32"/>
  <c r="B17" i="29"/>
  <c r="B9" i="29"/>
  <c r="B10" i="29"/>
  <c r="K10" i="29" s="1"/>
  <c r="B8" i="29"/>
  <c r="C19" i="10"/>
  <c r="I19" i="10"/>
  <c r="H19" i="10"/>
  <c r="G19" i="10"/>
  <c r="J26" i="18"/>
  <c r="C37" i="22"/>
  <c r="C38" i="22"/>
  <c r="C40" i="22"/>
  <c r="C39" i="22"/>
  <c r="F29" i="10"/>
  <c r="C39" i="19"/>
  <c r="C38" i="19"/>
  <c r="C37" i="19"/>
  <c r="C55" i="6"/>
  <c r="C56" i="6"/>
  <c r="C57" i="6"/>
  <c r="H40" i="3"/>
  <c r="D40" i="3"/>
  <c r="B43" i="26"/>
  <c r="J17" i="29"/>
  <c r="L17" i="29" s="1"/>
  <c r="R17" i="29" s="1"/>
  <c r="K17" i="29"/>
  <c r="H17" i="10"/>
  <c r="Y145" i="6"/>
  <c r="Y144" i="6"/>
  <c r="Y143" i="6"/>
  <c r="Y142" i="6"/>
  <c r="Y141" i="6"/>
  <c r="Y140" i="6"/>
  <c r="Y139" i="6"/>
  <c r="Y136" i="6"/>
  <c r="Y135" i="6"/>
  <c r="Y134" i="6"/>
  <c r="Y133" i="6"/>
  <c r="Y130" i="6"/>
  <c r="Y129" i="6"/>
  <c r="Y128" i="6"/>
  <c r="Y127" i="6"/>
  <c r="Y126" i="6"/>
  <c r="Y125" i="6"/>
  <c r="Y124" i="6"/>
  <c r="Y116" i="6"/>
  <c r="Y117" i="6"/>
  <c r="Y118" i="6"/>
  <c r="Y119" i="6"/>
  <c r="Y120" i="6"/>
  <c r="Y121" i="6"/>
  <c r="Y115" i="6"/>
  <c r="Y110" i="6"/>
  <c r="Y111" i="6"/>
  <c r="Y112" i="6"/>
  <c r="Y109" i="6"/>
  <c r="AE128" i="6"/>
  <c r="AE127" i="6"/>
  <c r="AE126" i="6"/>
  <c r="AE125" i="6"/>
  <c r="AE120" i="6"/>
  <c r="AE121" i="6"/>
  <c r="AE122" i="6"/>
  <c r="AE119" i="6"/>
  <c r="AE110" i="6"/>
  <c r="AE111" i="6"/>
  <c r="AE112" i="6"/>
  <c r="AE113" i="6"/>
  <c r="AE114" i="6"/>
  <c r="AE115" i="6"/>
  <c r="AE109" i="6"/>
  <c r="B27" i="18"/>
  <c r="S92" i="6"/>
  <c r="S88" i="6"/>
  <c r="L10" i="29" l="1"/>
  <c r="J10" i="29"/>
  <c r="R10" i="29" s="1"/>
  <c r="D43" i="26"/>
  <c r="U88" i="6" a="1"/>
  <c r="U88" i="6" s="1"/>
  <c r="Y88" i="6" s="1"/>
  <c r="AA88" i="6" s="1"/>
  <c r="I26" i="6" s="1"/>
  <c r="U92" i="6" a="1"/>
  <c r="U92" i="6" s="1"/>
  <c r="U104" i="6" s="1" a="1"/>
  <c r="U104" i="6" s="1"/>
  <c r="W104" i="6" s="1"/>
  <c r="AC104" i="6" s="1"/>
  <c r="Q8" i="32"/>
  <c r="Q9" i="32" s="1"/>
  <c r="Q10" i="32" s="1"/>
  <c r="Q11" i="32" s="1"/>
  <c r="Q12" i="32" s="1"/>
  <c r="O8" i="32"/>
  <c r="B9" i="32" s="1"/>
  <c r="J57" i="3"/>
  <c r="J58" i="3"/>
  <c r="J56" i="3"/>
  <c r="H38" i="3"/>
  <c r="H39" i="3"/>
  <c r="H37" i="3"/>
  <c r="F44" i="3"/>
  <c r="F42" i="3"/>
  <c r="F43" i="3"/>
  <c r="F51" i="3"/>
  <c r="H51" i="3" s="1"/>
  <c r="F49" i="3"/>
  <c r="D50" i="3"/>
  <c r="D51" i="3"/>
  <c r="D52" i="3"/>
  <c r="D53" i="3"/>
  <c r="D54" i="3"/>
  <c r="D49" i="3"/>
  <c r="D43" i="3"/>
  <c r="D44" i="3"/>
  <c r="D45" i="3"/>
  <c r="F45" i="3" s="1"/>
  <c r="J45" i="3" s="1"/>
  <c r="D46" i="3"/>
  <c r="F46" i="3" s="1"/>
  <c r="H46" i="3" s="1"/>
  <c r="D47" i="3"/>
  <c r="F47" i="3" s="1"/>
  <c r="H47" i="3" s="1"/>
  <c r="D42" i="3"/>
  <c r="D38" i="3"/>
  <c r="D39" i="3"/>
  <c r="D37" i="3"/>
  <c r="O30" i="10"/>
  <c r="K14" i="12"/>
  <c r="H9" i="26"/>
  <c r="H10" i="26"/>
  <c r="H8" i="26"/>
  <c r="D33" i="31"/>
  <c r="D32" i="31"/>
  <c r="D31" i="31"/>
  <c r="D33" i="27"/>
  <c r="D32" i="27"/>
  <c r="D31" i="27"/>
  <c r="D33" i="28"/>
  <c r="D32" i="28"/>
  <c r="D31" i="28"/>
  <c r="D33" i="30"/>
  <c r="D32" i="30"/>
  <c r="D31" i="30"/>
  <c r="D33" i="25"/>
  <c r="D32" i="25"/>
  <c r="D31" i="25"/>
  <c r="D33" i="24"/>
  <c r="D32" i="24"/>
  <c r="D31" i="24"/>
  <c r="D32" i="23"/>
  <c r="D33" i="23"/>
  <c r="D31" i="23"/>
  <c r="P69" i="26"/>
  <c r="P70" i="26"/>
  <c r="P68" i="26"/>
  <c r="D42" i="31"/>
  <c r="D6" i="31"/>
  <c r="H67" i="31" s="1"/>
  <c r="D5" i="31"/>
  <c r="D4" i="31"/>
  <c r="D42" i="30"/>
  <c r="D38" i="30"/>
  <c r="D37" i="30"/>
  <c r="D36" i="30"/>
  <c r="D6" i="30"/>
  <c r="H67" i="30" s="1"/>
  <c r="D5" i="30"/>
  <c r="D4" i="30"/>
  <c r="J32" i="3" l="1"/>
  <c r="J44" i="3"/>
  <c r="J51" i="3"/>
  <c r="J49" i="3"/>
  <c r="J40" i="3"/>
  <c r="U99" i="6" a="1"/>
  <c r="U99" i="6" s="1"/>
  <c r="Y99" i="6" s="1"/>
  <c r="AA99" i="6" s="1"/>
  <c r="AE8" i="19"/>
  <c r="AE10" i="19"/>
  <c r="AE9" i="19"/>
  <c r="AC26" i="6"/>
  <c r="O19" i="10" s="1"/>
  <c r="F48" i="23" s="1"/>
  <c r="AA7" i="19"/>
  <c r="W88" i="6"/>
  <c r="Q26" i="6"/>
  <c r="W92" i="6"/>
  <c r="B7" i="32"/>
  <c r="O9" i="32"/>
  <c r="O10" i="32" s="1"/>
  <c r="O11" i="32" s="1"/>
  <c r="O12" i="32" s="1"/>
  <c r="B10" i="32"/>
  <c r="B12" i="32"/>
  <c r="B13" i="32"/>
  <c r="H42" i="3"/>
  <c r="J42" i="3" s="1"/>
  <c r="H49" i="3"/>
  <c r="H43" i="3"/>
  <c r="J43" i="3" s="1"/>
  <c r="H44" i="3"/>
  <c r="F50" i="3"/>
  <c r="H50" i="3" s="1"/>
  <c r="J38" i="3"/>
  <c r="J37" i="3"/>
  <c r="J39" i="3"/>
  <c r="J46" i="3"/>
  <c r="J47" i="3"/>
  <c r="H45" i="3"/>
  <c r="B8" i="32"/>
  <c r="R8" i="32"/>
  <c r="B11" i="32"/>
  <c r="K8" i="29"/>
  <c r="V25" i="12"/>
  <c r="H22" i="30" s="1"/>
  <c r="L22" i="30" s="1"/>
  <c r="V24" i="12"/>
  <c r="H21" i="30" s="1"/>
  <c r="L21" i="30" s="1"/>
  <c r="B33" i="12"/>
  <c r="D42" i="28"/>
  <c r="D38" i="28"/>
  <c r="D37" i="28"/>
  <c r="D36" i="28"/>
  <c r="D6" i="28"/>
  <c r="H67" i="28" s="1"/>
  <c r="D5" i="28"/>
  <c r="D4" i="28"/>
  <c r="B29" i="26"/>
  <c r="D40" i="26"/>
  <c r="B63" i="26"/>
  <c r="D63" i="26" s="1"/>
  <c r="B64" i="26"/>
  <c r="D64" i="26" s="1"/>
  <c r="B65" i="26"/>
  <c r="D65" i="26" s="1"/>
  <c r="B66" i="26"/>
  <c r="D66" i="26" s="1"/>
  <c r="B67" i="26"/>
  <c r="D67" i="26" s="1"/>
  <c r="B68" i="26"/>
  <c r="D68" i="26" s="1"/>
  <c r="B69" i="26"/>
  <c r="D69" i="26" s="1"/>
  <c r="B70" i="26"/>
  <c r="D70" i="26" s="1"/>
  <c r="B62" i="26"/>
  <c r="D62" i="26" s="1"/>
  <c r="B59" i="26"/>
  <c r="B60" i="26"/>
  <c r="B58" i="26"/>
  <c r="B46" i="26"/>
  <c r="B47" i="26"/>
  <c r="B48" i="26"/>
  <c r="B49" i="26"/>
  <c r="B50" i="26"/>
  <c r="B51" i="26"/>
  <c r="B52" i="26"/>
  <c r="B53" i="26"/>
  <c r="B54" i="26"/>
  <c r="B55" i="26"/>
  <c r="B56" i="26"/>
  <c r="B45" i="26"/>
  <c r="B41" i="26"/>
  <c r="B42" i="26"/>
  <c r="B40" i="26"/>
  <c r="L26" i="18"/>
  <c r="B20" i="26"/>
  <c r="B6" i="12"/>
  <c r="J6" i="12"/>
  <c r="L6" i="12" s="1"/>
  <c r="R6" i="12" s="1"/>
  <c r="K6" i="12"/>
  <c r="B7" i="12"/>
  <c r="J7" i="12"/>
  <c r="K7" i="12"/>
  <c r="L7" i="12"/>
  <c r="R7" i="12"/>
  <c r="B13" i="12"/>
  <c r="K13" i="12"/>
  <c r="B14" i="12"/>
  <c r="J14" i="12"/>
  <c r="L14" i="12" s="1"/>
  <c r="R14" i="12" s="1"/>
  <c r="B22" i="12"/>
  <c r="J22" i="12"/>
  <c r="L22" i="12" s="1"/>
  <c r="R22" i="12" s="1"/>
  <c r="K22" i="12"/>
  <c r="B23" i="12"/>
  <c r="J23" i="12"/>
  <c r="K23" i="12"/>
  <c r="L23" i="12"/>
  <c r="B24" i="12"/>
  <c r="J24" i="12"/>
  <c r="K24" i="12"/>
  <c r="L24" i="12"/>
  <c r="B25" i="12"/>
  <c r="J25" i="12"/>
  <c r="K25" i="12"/>
  <c r="L25" i="12"/>
  <c r="B18" i="26"/>
  <c r="D42" i="27"/>
  <c r="D38" i="27"/>
  <c r="D37" i="27"/>
  <c r="D36" i="27"/>
  <c r="D6" i="27"/>
  <c r="H67" i="27" s="1"/>
  <c r="D5" i="27"/>
  <c r="D4" i="27"/>
  <c r="E25" i="22"/>
  <c r="D42" i="25"/>
  <c r="D38" i="25"/>
  <c r="D37" i="25"/>
  <c r="D36" i="25"/>
  <c r="D6" i="25"/>
  <c r="H67" i="25" s="1"/>
  <c r="D5" i="25"/>
  <c r="D4" i="25"/>
  <c r="K29" i="18"/>
  <c r="J29" i="18"/>
  <c r="L29" i="18" s="1"/>
  <c r="R29" i="18" s="1"/>
  <c r="B29" i="18"/>
  <c r="K26" i="18"/>
  <c r="B26" i="18"/>
  <c r="U26" i="18" s="1"/>
  <c r="U10" i="29" s="1"/>
  <c r="D42" i="24"/>
  <c r="D38" i="24"/>
  <c r="D37" i="24"/>
  <c r="D36" i="24"/>
  <c r="D6" i="24"/>
  <c r="H67" i="24" s="1"/>
  <c r="D5" i="24"/>
  <c r="D4" i="24"/>
  <c r="H18" i="10"/>
  <c r="I18" i="10"/>
  <c r="O18" i="10" s="1"/>
  <c r="F47" i="23" s="1"/>
  <c r="H21" i="10"/>
  <c r="G21" i="10"/>
  <c r="I21" i="10" s="1"/>
  <c r="O21" i="10" s="1"/>
  <c r="H15" i="23" s="1"/>
  <c r="L15" i="23" s="1"/>
  <c r="O50" i="10"/>
  <c r="H27" i="25" s="1"/>
  <c r="K27" i="25" s="1"/>
  <c r="O46" i="10"/>
  <c r="H23" i="24" s="1"/>
  <c r="K23" i="24" s="1"/>
  <c r="D38" i="23"/>
  <c r="D37" i="23"/>
  <c r="D36" i="23"/>
  <c r="D42" i="23"/>
  <c r="D6" i="23"/>
  <c r="H67" i="23" s="1"/>
  <c r="D5" i="23"/>
  <c r="D4" i="23"/>
  <c r="Q42" i="26" l="1"/>
  <c r="AE92" i="6"/>
  <c r="AA92" i="6"/>
  <c r="I17" i="10" s="1"/>
  <c r="D45" i="26"/>
  <c r="W99" i="6"/>
  <c r="G17" i="10"/>
  <c r="I7" i="19"/>
  <c r="AC88" i="6"/>
  <c r="E26" i="6"/>
  <c r="G16" i="10" s="1"/>
  <c r="J50" i="3"/>
  <c r="S26" i="6"/>
  <c r="H22" i="28"/>
  <c r="L22" i="28" s="1"/>
  <c r="H21" i="25"/>
  <c r="L21" i="25" s="1"/>
  <c r="H21" i="28"/>
  <c r="L21" i="28" s="1"/>
  <c r="R9" i="32"/>
  <c r="K33" i="12"/>
  <c r="J33" i="12"/>
  <c r="L33" i="12" s="1"/>
  <c r="R33" i="12" s="1"/>
  <c r="H23" i="23"/>
  <c r="K23" i="23" s="1"/>
  <c r="H23" i="30"/>
  <c r="K23" i="30" s="1"/>
  <c r="R62" i="26"/>
  <c r="H23" i="31" s="1"/>
  <c r="K23" i="31" s="1"/>
  <c r="H23" i="28"/>
  <c r="K23" i="28" s="1"/>
  <c r="H27" i="23"/>
  <c r="K27" i="23" s="1"/>
  <c r="H27" i="30"/>
  <c r="K27" i="30" s="1"/>
  <c r="R66" i="26"/>
  <c r="H27" i="31" s="1"/>
  <c r="K27" i="31" s="1"/>
  <c r="H23" i="25"/>
  <c r="K23" i="25" s="1"/>
  <c r="H23" i="27"/>
  <c r="K23" i="27" s="1"/>
  <c r="D42" i="26"/>
  <c r="H27" i="27"/>
  <c r="K27" i="27" s="1"/>
  <c r="H27" i="28"/>
  <c r="K27" i="28" s="1"/>
  <c r="H22" i="25"/>
  <c r="L22" i="25" s="1"/>
  <c r="T26" i="18"/>
  <c r="T10" i="29" s="1"/>
  <c r="H22" i="27"/>
  <c r="L22" i="27" s="1"/>
  <c r="H21" i="27"/>
  <c r="L21" i="27" s="1"/>
  <c r="H27" i="24"/>
  <c r="K27" i="24" s="1"/>
  <c r="V29" i="18"/>
  <c r="V13" i="12" s="1"/>
  <c r="U29" i="18"/>
  <c r="U13" i="12" s="1"/>
  <c r="Q45" i="26" s="1"/>
  <c r="T29" i="18"/>
  <c r="J24" i="18" l="1"/>
  <c r="P42" i="26"/>
  <c r="AC99" i="6"/>
  <c r="L8" i="29" s="1"/>
  <c r="R8" i="29" s="1"/>
  <c r="J8" i="29"/>
  <c r="T13" i="12"/>
  <c r="P45" i="26" s="1"/>
  <c r="K26" i="6"/>
  <c r="L24" i="18"/>
  <c r="R10" i="32"/>
  <c r="R45" i="26"/>
  <c r="H15" i="31" s="1"/>
  <c r="L15" i="31" s="1"/>
  <c r="H15" i="30"/>
  <c r="L15" i="30" s="1"/>
  <c r="H15" i="28"/>
  <c r="L15" i="28" s="1"/>
  <c r="H15" i="24"/>
  <c r="L15" i="24" s="1"/>
  <c r="J13" i="12"/>
  <c r="L13" i="12" s="1"/>
  <c r="R13" i="12" s="1"/>
  <c r="R11" i="32" l="1"/>
  <c r="H15" i="27"/>
  <c r="L15" i="27" s="1"/>
  <c r="H15" i="25"/>
  <c r="L15" i="25" s="1"/>
  <c r="R12" i="32" l="1"/>
  <c r="F239" i="17"/>
  <c r="F240" i="17"/>
  <c r="F241" i="17"/>
  <c r="F238" i="17"/>
  <c r="R34" i="18"/>
  <c r="R33" i="18"/>
  <c r="R32" i="18"/>
  <c r="J36" i="18"/>
  <c r="L36" i="18" s="1"/>
  <c r="R36" i="18" s="1"/>
  <c r="K36" i="18"/>
  <c r="G28" i="10"/>
  <c r="I28" i="10" s="1"/>
  <c r="O28" i="10" s="1"/>
  <c r="H42" i="23" s="1"/>
  <c r="L42" i="23" s="1"/>
  <c r="H28" i="10"/>
  <c r="B24" i="18"/>
  <c r="K32" i="18"/>
  <c r="K33" i="18"/>
  <c r="K34" i="18"/>
  <c r="K35" i="18"/>
  <c r="K37" i="18"/>
  <c r="L32" i="18"/>
  <c r="L33" i="18"/>
  <c r="L34" i="18"/>
  <c r="J35" i="18"/>
  <c r="L35" i="18" s="1"/>
  <c r="R35" i="18" s="1"/>
  <c r="J33" i="18"/>
  <c r="J32" i="18"/>
  <c r="J34" i="18"/>
  <c r="J31" i="18"/>
  <c r="L31" i="18" s="1"/>
  <c r="R31" i="18" s="1"/>
  <c r="K30" i="18"/>
  <c r="K31" i="18"/>
  <c r="R24" i="18"/>
  <c r="K24" i="18"/>
  <c r="R38" i="18"/>
  <c r="R39" i="18"/>
  <c r="R40" i="18"/>
  <c r="J37" i="18"/>
  <c r="J30" i="18"/>
  <c r="K17" i="19"/>
  <c r="B25" i="18"/>
  <c r="D41" i="26" s="1"/>
  <c r="B30" i="18"/>
  <c r="B31" i="18"/>
  <c r="B32" i="18"/>
  <c r="B33" i="18"/>
  <c r="B34" i="18"/>
  <c r="B35" i="18"/>
  <c r="B37" i="18"/>
  <c r="B36" i="18"/>
  <c r="B38" i="18"/>
  <c r="B39" i="18"/>
  <c r="B40" i="18"/>
  <c r="H36" i="23"/>
  <c r="L36" i="23" s="1"/>
  <c r="O31" i="10"/>
  <c r="H37" i="23" s="1"/>
  <c r="L37" i="23" s="1"/>
  <c r="O32" i="10"/>
  <c r="H38" i="23" s="1"/>
  <c r="L38" i="23" s="1"/>
  <c r="H27" i="10"/>
  <c r="G27" i="10"/>
  <c r="I27" i="10" s="1"/>
  <c r="O27" i="10" s="1"/>
  <c r="H41" i="23" s="1"/>
  <c r="L41" i="23" s="1"/>
  <c r="O25" i="10"/>
  <c r="H21" i="23" s="1"/>
  <c r="L21" i="23" s="1"/>
  <c r="O26" i="10"/>
  <c r="H22" i="23" s="1"/>
  <c r="L22" i="23" s="1"/>
  <c r="H29" i="10"/>
  <c r="G29" i="10"/>
  <c r="I29" i="10" s="1"/>
  <c r="O29" i="10" s="1"/>
  <c r="F158" i="17"/>
  <c r="G24" i="10"/>
  <c r="I24" i="10" s="1"/>
  <c r="O24" i="10" s="1"/>
  <c r="H20" i="23" s="1"/>
  <c r="L20" i="23" s="1"/>
  <c r="G26" i="10"/>
  <c r="I26" i="10" s="1"/>
  <c r="G25" i="10"/>
  <c r="I25" i="10" s="1"/>
  <c r="O16" i="10"/>
  <c r="F45" i="23" s="1"/>
  <c r="H24" i="10"/>
  <c r="H25" i="10"/>
  <c r="H26" i="10"/>
  <c r="H23" i="10"/>
  <c r="G23" i="10"/>
  <c r="I23" i="10" s="1"/>
  <c r="O23" i="10" s="1"/>
  <c r="H19" i="23" s="1"/>
  <c r="L19" i="23" s="1"/>
  <c r="F118" i="17"/>
  <c r="F111" i="17"/>
  <c r="F95" i="17"/>
  <c r="F96" i="17"/>
  <c r="F97" i="17"/>
  <c r="F98" i="17"/>
  <c r="F99" i="17"/>
  <c r="F100" i="17"/>
  <c r="F94" i="17"/>
  <c r="H22" i="10"/>
  <c r="G22" i="10"/>
  <c r="I22" i="10" s="1"/>
  <c r="O22" i="10" s="1"/>
  <c r="H16" i="23" s="1"/>
  <c r="L16" i="23" s="1"/>
  <c r="O36" i="6"/>
  <c r="M36" i="6"/>
  <c r="O17" i="10"/>
  <c r="F46" i="23" s="1"/>
  <c r="F89" i="17"/>
  <c r="F88" i="17"/>
  <c r="F86" i="17"/>
  <c r="F87" i="17"/>
  <c r="F85" i="17"/>
  <c r="F84" i="17"/>
  <c r="F82" i="17"/>
  <c r="F83" i="17"/>
  <c r="F81" i="17"/>
  <c r="F76" i="17"/>
  <c r="F69" i="17"/>
  <c r="F70" i="17"/>
  <c r="F71" i="17"/>
  <c r="F72" i="17"/>
  <c r="F73" i="17"/>
  <c r="F74" i="17"/>
  <c r="F75" i="17"/>
  <c r="F33" i="17"/>
  <c r="F59" i="17"/>
  <c r="F58" i="17"/>
  <c r="F50" i="17"/>
  <c r="F51" i="17"/>
  <c r="F45" i="17"/>
  <c r="F44" i="17"/>
  <c r="F43" i="17"/>
  <c r="F39" i="17"/>
  <c r="F34" i="17"/>
  <c r="F35" i="17"/>
  <c r="F36" i="17"/>
  <c r="F37" i="17"/>
  <c r="F57" i="17"/>
  <c r="F56" i="17"/>
  <c r="F41" i="17"/>
  <c r="F42" i="17"/>
  <c r="F40" i="17"/>
  <c r="F68" i="17"/>
  <c r="F67" i="17"/>
  <c r="F38" i="17"/>
  <c r="F66" i="17"/>
  <c r="F65" i="17"/>
  <c r="F64" i="17"/>
  <c r="F5" i="17"/>
  <c r="F6" i="17"/>
  <c r="F7" i="17"/>
  <c r="F8" i="17"/>
  <c r="F9" i="17"/>
  <c r="F10" i="17"/>
  <c r="F11" i="17"/>
  <c r="F12" i="17"/>
  <c r="F13" i="17"/>
  <c r="F14" i="17"/>
  <c r="F15" i="17"/>
  <c r="F16" i="17"/>
  <c r="F17" i="17"/>
  <c r="F18" i="17"/>
  <c r="F19" i="17"/>
  <c r="F20" i="17"/>
  <c r="F21" i="17"/>
  <c r="F22" i="17"/>
  <c r="F23" i="17"/>
  <c r="F24" i="17"/>
  <c r="F25" i="17"/>
  <c r="F26" i="17"/>
  <c r="F27" i="17"/>
  <c r="F28" i="17"/>
  <c r="F4" i="17"/>
  <c r="H51" i="23" l="1"/>
  <c r="L51" i="23" s="1"/>
  <c r="D51" i="26"/>
  <c r="D47" i="26"/>
  <c r="D46" i="26"/>
  <c r="H45" i="23"/>
  <c r="H59" i="23" s="1"/>
  <c r="D29" i="26"/>
  <c r="D53" i="26"/>
  <c r="V24" i="18"/>
  <c r="V8" i="29" s="1"/>
  <c r="D49" i="26"/>
  <c r="H61" i="23"/>
  <c r="L61" i="23" s="1"/>
  <c r="D50" i="26"/>
  <c r="D56" i="26"/>
  <c r="D55" i="26"/>
  <c r="D52" i="26"/>
  <c r="D48" i="26"/>
  <c r="D54" i="26"/>
  <c r="T40" i="18"/>
  <c r="P56" i="26" s="1"/>
  <c r="D38" i="31" s="1"/>
  <c r="T36" i="18"/>
  <c r="U37" i="18"/>
  <c r="U35" i="18"/>
  <c r="U34" i="18"/>
  <c r="U33" i="18"/>
  <c r="U38" i="18"/>
  <c r="Q54" i="26" s="1"/>
  <c r="U32" i="18"/>
  <c r="T31" i="18"/>
  <c r="V39" i="18"/>
  <c r="H37" i="25" s="1"/>
  <c r="L37" i="25" s="1"/>
  <c r="T24" i="18"/>
  <c r="T8" i="29" s="1"/>
  <c r="T30" i="18"/>
  <c r="T14" i="12" s="1"/>
  <c r="P20" i="26" s="1"/>
  <c r="L30" i="18"/>
  <c r="R30" i="18" s="1"/>
  <c r="V30" i="18" s="1"/>
  <c r="L37" i="18"/>
  <c r="L54" i="23"/>
  <c r="R26" i="18"/>
  <c r="V38" i="18"/>
  <c r="T39" i="18"/>
  <c r="P55" i="26" s="1"/>
  <c r="D37" i="31" s="1"/>
  <c r="T38" i="18"/>
  <c r="P54" i="26" s="1"/>
  <c r="D36" i="31" s="1"/>
  <c r="U39" i="18"/>
  <c r="Q55" i="26" s="1"/>
  <c r="U31" i="18"/>
  <c r="U30" i="18"/>
  <c r="U14" i="12" s="1"/>
  <c r="Q20" i="26" s="1"/>
  <c r="U36" i="18"/>
  <c r="T33" i="18"/>
  <c r="U24" i="18"/>
  <c r="F25" i="18" s="1"/>
  <c r="T32" i="18"/>
  <c r="U40" i="18"/>
  <c r="Q56" i="26" s="1"/>
  <c r="T34" i="18"/>
  <c r="V36" i="18"/>
  <c r="V34" i="18"/>
  <c r="T37" i="18"/>
  <c r="T35" i="18"/>
  <c r="V40" i="18"/>
  <c r="V33" i="18"/>
  <c r="V32" i="18"/>
  <c r="V31" i="18"/>
  <c r="V35" i="18"/>
  <c r="V6" i="12" s="1"/>
  <c r="F27" i="18" l="1"/>
  <c r="U8" i="29"/>
  <c r="T27" i="18"/>
  <c r="T17" i="29" s="1"/>
  <c r="P43" i="26" s="1"/>
  <c r="U27" i="18"/>
  <c r="U17" i="29" s="1"/>
  <c r="Q43" i="26" s="1"/>
  <c r="K27" i="18"/>
  <c r="J27" i="18"/>
  <c r="L27" i="18"/>
  <c r="R27" i="18" s="1"/>
  <c r="V27" i="18" s="1"/>
  <c r="L25" i="18"/>
  <c r="R25" i="18" s="1"/>
  <c r="V25" i="18" s="1"/>
  <c r="T25" i="18"/>
  <c r="T9" i="29" s="1"/>
  <c r="U25" i="18"/>
  <c r="U9" i="29" s="1"/>
  <c r="U33" i="12"/>
  <c r="Q18" i="26" s="1"/>
  <c r="K25" i="18"/>
  <c r="J25" i="18"/>
  <c r="F45" i="30"/>
  <c r="R40" i="26"/>
  <c r="F45" i="31" s="1"/>
  <c r="P40" i="26"/>
  <c r="U6" i="12"/>
  <c r="Q51" i="26" s="1"/>
  <c r="T6" i="12"/>
  <c r="P51" i="26" s="1"/>
  <c r="H41" i="30"/>
  <c r="L41" i="30" s="1"/>
  <c r="H41" i="28"/>
  <c r="L41" i="28" s="1"/>
  <c r="T33" i="12"/>
  <c r="P46" i="26"/>
  <c r="Q46" i="26"/>
  <c r="H16" i="24"/>
  <c r="L16" i="24" s="1"/>
  <c r="V14" i="12"/>
  <c r="N20" i="26" s="1"/>
  <c r="T22" i="12"/>
  <c r="P47" i="26" s="1"/>
  <c r="U23" i="12"/>
  <c r="Q48" i="26" s="1"/>
  <c r="T23" i="12"/>
  <c r="P48" i="26" s="1"/>
  <c r="U24" i="12"/>
  <c r="Q49" i="26" s="1"/>
  <c r="U25" i="12"/>
  <c r="Q50" i="26" s="1"/>
  <c r="U7" i="12"/>
  <c r="Q52" i="26" s="1"/>
  <c r="T7" i="12"/>
  <c r="P52" i="26" s="1"/>
  <c r="U22" i="12"/>
  <c r="Q47" i="26" s="1"/>
  <c r="H20" i="24"/>
  <c r="L20" i="24" s="1"/>
  <c r="V23" i="12"/>
  <c r="R48" i="26" s="1"/>
  <c r="H20" i="31" s="1"/>
  <c r="L20" i="31" s="1"/>
  <c r="H21" i="24"/>
  <c r="L21" i="24" s="1"/>
  <c r="R49" i="26"/>
  <c r="H21" i="31" s="1"/>
  <c r="L21" i="31" s="1"/>
  <c r="H38" i="30"/>
  <c r="L38" i="30" s="1"/>
  <c r="R56" i="26"/>
  <c r="H38" i="31" s="1"/>
  <c r="L38" i="31" s="1"/>
  <c r="H38" i="28"/>
  <c r="L38" i="28" s="1"/>
  <c r="H37" i="24"/>
  <c r="L37" i="24" s="1"/>
  <c r="T25" i="12"/>
  <c r="P50" i="26" s="1"/>
  <c r="H37" i="30"/>
  <c r="L37" i="30" s="1"/>
  <c r="R55" i="26"/>
  <c r="H37" i="31" s="1"/>
  <c r="L37" i="31" s="1"/>
  <c r="H37" i="28"/>
  <c r="L37" i="28" s="1"/>
  <c r="T24" i="12"/>
  <c r="P49" i="26" s="1"/>
  <c r="H41" i="24"/>
  <c r="L41" i="24" s="1"/>
  <c r="R51" i="26"/>
  <c r="H41" i="31" s="1"/>
  <c r="L41" i="31" s="1"/>
  <c r="V22" i="12"/>
  <c r="R47" i="26" s="1"/>
  <c r="H19" i="31" s="1"/>
  <c r="L19" i="31" s="1"/>
  <c r="H37" i="27"/>
  <c r="L37" i="27" s="1"/>
  <c r="H22" i="24"/>
  <c r="L22" i="24" s="1"/>
  <c r="R50" i="26"/>
  <c r="H22" i="31" s="1"/>
  <c r="L22" i="31" s="1"/>
  <c r="R54" i="26"/>
  <c r="H36" i="31" s="1"/>
  <c r="L36" i="31" s="1"/>
  <c r="H36" i="30"/>
  <c r="L36" i="30" s="1"/>
  <c r="H36" i="28"/>
  <c r="L36" i="28" s="1"/>
  <c r="L59" i="23"/>
  <c r="V7" i="12"/>
  <c r="R52" i="26" s="1"/>
  <c r="H42" i="31" s="1"/>
  <c r="R37" i="18"/>
  <c r="V37" i="18" s="1"/>
  <c r="H51" i="24" s="1"/>
  <c r="H19" i="24"/>
  <c r="L19" i="24" s="1"/>
  <c r="H38" i="24"/>
  <c r="L38" i="24" s="1"/>
  <c r="H38" i="27"/>
  <c r="L38" i="27" s="1"/>
  <c r="H38" i="25"/>
  <c r="L38" i="25" s="1"/>
  <c r="F45" i="24"/>
  <c r="F45" i="25"/>
  <c r="V26" i="18"/>
  <c r="H36" i="27"/>
  <c r="H36" i="25"/>
  <c r="L36" i="25" s="1"/>
  <c r="H36" i="24"/>
  <c r="L36" i="24" s="1"/>
  <c r="H41" i="25"/>
  <c r="L41" i="25" s="1"/>
  <c r="H41" i="27"/>
  <c r="H42" i="24"/>
  <c r="O53" i="10"/>
  <c r="O54" i="10"/>
  <c r="O52" i="10"/>
  <c r="O48" i="10"/>
  <c r="O49" i="10"/>
  <c r="O47" i="10"/>
  <c r="O51" i="10"/>
  <c r="O42" i="10"/>
  <c r="O41" i="10"/>
  <c r="O40" i="10"/>
  <c r="V10" i="29" l="1"/>
  <c r="F47" i="30" s="1"/>
  <c r="F47" i="25"/>
  <c r="F47" i="24"/>
  <c r="F46" i="24"/>
  <c r="F46" i="25"/>
  <c r="Q29" i="26"/>
  <c r="K9" i="29"/>
  <c r="J9" i="29"/>
  <c r="L9" i="29"/>
  <c r="Q53" i="26"/>
  <c r="Q41" i="26"/>
  <c r="P41" i="26"/>
  <c r="Q40" i="26"/>
  <c r="R9" i="29"/>
  <c r="V9" i="29" s="1"/>
  <c r="V33" i="12"/>
  <c r="F45" i="28"/>
  <c r="F45" i="27"/>
  <c r="P18" i="26"/>
  <c r="P29" i="26"/>
  <c r="P53" i="26"/>
  <c r="R20" i="26"/>
  <c r="H16" i="28" s="1"/>
  <c r="L16" i="28" s="1"/>
  <c r="R68" i="26"/>
  <c r="H31" i="23"/>
  <c r="K31" i="23" s="1"/>
  <c r="H31" i="25"/>
  <c r="K31" i="25" s="1"/>
  <c r="H31" i="30"/>
  <c r="K31" i="30" s="1"/>
  <c r="H31" i="27"/>
  <c r="K31" i="27" s="1"/>
  <c r="H31" i="24"/>
  <c r="K31" i="24" s="1"/>
  <c r="H31" i="31"/>
  <c r="H31" i="28"/>
  <c r="K31" i="28" s="1"/>
  <c r="H33" i="25"/>
  <c r="K33" i="25" s="1"/>
  <c r="H33" i="28"/>
  <c r="K33" i="28" s="1"/>
  <c r="H33" i="24"/>
  <c r="K33" i="24" s="1"/>
  <c r="H33" i="30"/>
  <c r="K33" i="30" s="1"/>
  <c r="H33" i="27"/>
  <c r="K33" i="27" s="1"/>
  <c r="H33" i="31"/>
  <c r="H33" i="23"/>
  <c r="K33" i="23" s="1"/>
  <c r="H32" i="25"/>
  <c r="K32" i="25" s="1"/>
  <c r="H32" i="27"/>
  <c r="K32" i="27" s="1"/>
  <c r="H32" i="28"/>
  <c r="K32" i="28" s="1"/>
  <c r="H32" i="24"/>
  <c r="K32" i="24" s="1"/>
  <c r="H32" i="31"/>
  <c r="H32" i="30"/>
  <c r="K32" i="30" s="1"/>
  <c r="H32" i="23"/>
  <c r="K32" i="23" s="1"/>
  <c r="L36" i="27"/>
  <c r="R69" i="26"/>
  <c r="H19" i="28"/>
  <c r="L19" i="28" s="1"/>
  <c r="H19" i="30"/>
  <c r="L19" i="30" s="1"/>
  <c r="H24" i="24"/>
  <c r="K24" i="24" s="1"/>
  <c r="H24" i="30"/>
  <c r="K24" i="30" s="1"/>
  <c r="R63" i="26"/>
  <c r="H24" i="31" s="1"/>
  <c r="K24" i="31" s="1"/>
  <c r="H24" i="25"/>
  <c r="K24" i="25" s="1"/>
  <c r="H24" i="27"/>
  <c r="K24" i="27" s="1"/>
  <c r="H24" i="28"/>
  <c r="K24" i="28" s="1"/>
  <c r="H20" i="28"/>
  <c r="L20" i="28" s="1"/>
  <c r="H20" i="30"/>
  <c r="L20" i="30" s="1"/>
  <c r="H20" i="25"/>
  <c r="L20" i="25" s="1"/>
  <c r="H20" i="27"/>
  <c r="L20" i="27" s="1"/>
  <c r="R70" i="26"/>
  <c r="R42" i="26"/>
  <c r="F47" i="31" s="1"/>
  <c r="H26" i="30"/>
  <c r="K26" i="30" s="1"/>
  <c r="R65" i="26"/>
  <c r="H26" i="31" s="1"/>
  <c r="K26" i="31" s="1"/>
  <c r="H26" i="25"/>
  <c r="K26" i="25" s="1"/>
  <c r="H26" i="27"/>
  <c r="K26" i="27" s="1"/>
  <c r="H26" i="28"/>
  <c r="K26" i="28" s="1"/>
  <c r="H26" i="24"/>
  <c r="K26" i="24" s="1"/>
  <c r="H61" i="24"/>
  <c r="L61" i="24" s="1"/>
  <c r="R59" i="26"/>
  <c r="H11" i="31" s="1"/>
  <c r="K11" i="31" s="1"/>
  <c r="H11" i="30"/>
  <c r="K11" i="30" s="1"/>
  <c r="H11" i="24"/>
  <c r="K11" i="24" s="1"/>
  <c r="H11" i="25"/>
  <c r="K11" i="25" s="1"/>
  <c r="H11" i="27"/>
  <c r="K11" i="27" s="1"/>
  <c r="H11" i="28"/>
  <c r="K11" i="28" s="1"/>
  <c r="H25" i="30"/>
  <c r="K25" i="30" s="1"/>
  <c r="R64" i="26"/>
  <c r="H25" i="31" s="1"/>
  <c r="K25" i="31" s="1"/>
  <c r="H25" i="27"/>
  <c r="K25" i="27" s="1"/>
  <c r="H25" i="25"/>
  <c r="K25" i="25" s="1"/>
  <c r="H25" i="28"/>
  <c r="K25" i="28" s="1"/>
  <c r="H25" i="24"/>
  <c r="K25" i="24" s="1"/>
  <c r="H10" i="30"/>
  <c r="K10" i="30" s="1"/>
  <c r="R58" i="26"/>
  <c r="H10" i="31" s="1"/>
  <c r="K10" i="31" s="1"/>
  <c r="H16" i="30"/>
  <c r="L16" i="30" s="1"/>
  <c r="R46" i="26"/>
  <c r="H16" i="31" s="1"/>
  <c r="H16" i="27"/>
  <c r="L16" i="27" s="1"/>
  <c r="H16" i="25"/>
  <c r="L16" i="25" s="1"/>
  <c r="R60" i="26"/>
  <c r="H12" i="31" s="1"/>
  <c r="K12" i="31" s="1"/>
  <c r="H12" i="30"/>
  <c r="K12" i="30" s="1"/>
  <c r="H12" i="27"/>
  <c r="K12" i="27" s="1"/>
  <c r="H12" i="25"/>
  <c r="K12" i="25" s="1"/>
  <c r="H12" i="28"/>
  <c r="K12" i="28" s="1"/>
  <c r="H12" i="24"/>
  <c r="K12" i="24" s="1"/>
  <c r="H28" i="24"/>
  <c r="K28" i="24" s="1"/>
  <c r="R67" i="26"/>
  <c r="H28" i="31" s="1"/>
  <c r="K28" i="31" s="1"/>
  <c r="H28" i="30"/>
  <c r="K28" i="30" s="1"/>
  <c r="H28" i="27"/>
  <c r="K28" i="27" s="1"/>
  <c r="H28" i="28"/>
  <c r="K28" i="28" s="1"/>
  <c r="H28" i="25"/>
  <c r="K28" i="25" s="1"/>
  <c r="L42" i="24"/>
  <c r="L54" i="24" s="1"/>
  <c r="H42" i="30"/>
  <c r="L42" i="30" s="1"/>
  <c r="H42" i="28"/>
  <c r="H42" i="25"/>
  <c r="H42" i="27"/>
  <c r="L42" i="27" s="1"/>
  <c r="H10" i="27"/>
  <c r="K10" i="27" s="1"/>
  <c r="H10" i="24"/>
  <c r="K10" i="24" s="1"/>
  <c r="H10" i="28"/>
  <c r="K10" i="28" s="1"/>
  <c r="H10" i="25"/>
  <c r="K10" i="25" s="1"/>
  <c r="H19" i="27"/>
  <c r="L19" i="27" s="1"/>
  <c r="H19" i="25"/>
  <c r="L19" i="25" s="1"/>
  <c r="L41" i="27"/>
  <c r="H10" i="23"/>
  <c r="H12" i="23"/>
  <c r="K12" i="23" s="1"/>
  <c r="H11" i="23"/>
  <c r="K11" i="23" s="1"/>
  <c r="H28" i="23"/>
  <c r="K28" i="23" s="1"/>
  <c r="H24" i="23"/>
  <c r="K24" i="23" s="1"/>
  <c r="H26" i="23"/>
  <c r="K26" i="23" s="1"/>
  <c r="H25" i="23"/>
  <c r="K25" i="23" s="1"/>
  <c r="H51" i="25" l="1"/>
  <c r="H61" i="25" s="1"/>
  <c r="L61" i="25" s="1"/>
  <c r="H51" i="30"/>
  <c r="F47" i="27"/>
  <c r="F47" i="28"/>
  <c r="R18" i="26"/>
  <c r="H51" i="28" s="1"/>
  <c r="H61" i="30"/>
  <c r="L61" i="30" s="1"/>
  <c r="R29" i="26"/>
  <c r="H51" i="27" s="1"/>
  <c r="F46" i="30"/>
  <c r="F48" i="25"/>
  <c r="H45" i="25" s="1"/>
  <c r="H59" i="25" s="1"/>
  <c r="L59" i="25" s="1"/>
  <c r="F48" i="24"/>
  <c r="H45" i="24" s="1"/>
  <c r="H59" i="24" s="1"/>
  <c r="L59" i="24" s="1"/>
  <c r="V17" i="29"/>
  <c r="N18" i="26"/>
  <c r="R53" i="26"/>
  <c r="H51" i="31" s="1"/>
  <c r="K32" i="31"/>
  <c r="K33" i="31"/>
  <c r="H54" i="24"/>
  <c r="K54" i="25"/>
  <c r="K31" i="31"/>
  <c r="L54" i="30"/>
  <c r="H54" i="27"/>
  <c r="L16" i="31"/>
  <c r="H54" i="31"/>
  <c r="H54" i="30"/>
  <c r="H56" i="30" s="1"/>
  <c r="K56" i="30" s="1"/>
  <c r="K54" i="30"/>
  <c r="K54" i="28"/>
  <c r="K54" i="27"/>
  <c r="L42" i="25"/>
  <c r="L54" i="25" s="1"/>
  <c r="H54" i="25"/>
  <c r="H56" i="25" s="1"/>
  <c r="H57" i="25" s="1"/>
  <c r="L42" i="31"/>
  <c r="L42" i="28"/>
  <c r="L54" i="28" s="1"/>
  <c r="H54" i="28"/>
  <c r="K54" i="24"/>
  <c r="K10" i="23"/>
  <c r="K54" i="23" s="1"/>
  <c r="H54" i="23"/>
  <c r="L54" i="27"/>
  <c r="F46" i="27" l="1"/>
  <c r="F46" i="28"/>
  <c r="H61" i="27"/>
  <c r="L61" i="27" s="1"/>
  <c r="H61" i="31"/>
  <c r="L61" i="31" s="1"/>
  <c r="K54" i="31"/>
  <c r="R41" i="26"/>
  <c r="F46" i="31" s="1"/>
  <c r="F48" i="30"/>
  <c r="H45" i="30" s="1"/>
  <c r="H59" i="30" s="1"/>
  <c r="L59" i="30" s="1"/>
  <c r="R43" i="26"/>
  <c r="L54" i="31"/>
  <c r="H56" i="31"/>
  <c r="L57" i="30"/>
  <c r="K57" i="30"/>
  <c r="K63" i="30" s="1"/>
  <c r="H57" i="30"/>
  <c r="H56" i="27"/>
  <c r="H57" i="27" s="1"/>
  <c r="H56" i="24"/>
  <c r="K56" i="24" s="1"/>
  <c r="H61" i="28"/>
  <c r="L61" i="28" s="1"/>
  <c r="H63" i="25"/>
  <c r="H65" i="25" s="1"/>
  <c r="K56" i="25"/>
  <c r="K57" i="25" s="1"/>
  <c r="L57" i="25"/>
  <c r="L63" i="25" s="1"/>
  <c r="V10" i="32" s="1"/>
  <c r="X10" i="32" s="1"/>
  <c r="H56" i="23"/>
  <c r="S11" i="32" l="1"/>
  <c r="U11" i="32" s="1"/>
  <c r="F48" i="31"/>
  <c r="H45" i="31" s="1"/>
  <c r="H59" i="31" s="1"/>
  <c r="L59" i="31" s="1"/>
  <c r="F48" i="28"/>
  <c r="H45" i="28" s="1"/>
  <c r="H59" i="28" s="1"/>
  <c r="L59" i="28" s="1"/>
  <c r="F48" i="27"/>
  <c r="H45" i="27" s="1"/>
  <c r="H59" i="27" s="1"/>
  <c r="L63" i="30"/>
  <c r="V11" i="32" s="1"/>
  <c r="X11" i="32" s="1"/>
  <c r="H63" i="30"/>
  <c r="H65" i="30" s="1"/>
  <c r="H57" i="24"/>
  <c r="H63" i="24" s="1"/>
  <c r="H65" i="24" s="1"/>
  <c r="D26" i="3" s="1"/>
  <c r="K56" i="23"/>
  <c r="K57" i="23" s="1"/>
  <c r="L57" i="23"/>
  <c r="L63" i="23" s="1"/>
  <c r="V8" i="32" s="1"/>
  <c r="X8" i="32" s="1"/>
  <c r="L57" i="31"/>
  <c r="K56" i="31"/>
  <c r="H57" i="31"/>
  <c r="L57" i="24"/>
  <c r="L63" i="24" s="1"/>
  <c r="V9" i="32" s="1"/>
  <c r="X9" i="32" s="1"/>
  <c r="K57" i="24"/>
  <c r="K63" i="24" s="1"/>
  <c r="S9" i="32" s="1"/>
  <c r="K65" i="30"/>
  <c r="T11" i="32" s="1"/>
  <c r="F11" i="32" s="1"/>
  <c r="L57" i="27"/>
  <c r="K56" i="27"/>
  <c r="K57" i="27" s="1"/>
  <c r="K63" i="27" s="1"/>
  <c r="H56" i="28"/>
  <c r="H57" i="28" s="1"/>
  <c r="L65" i="25"/>
  <c r="W10" i="32" s="1"/>
  <c r="K63" i="25"/>
  <c r="S10" i="32" s="1"/>
  <c r="H57" i="23"/>
  <c r="H63" i="23" s="1"/>
  <c r="D31" i="3" l="1"/>
  <c r="L63" i="31"/>
  <c r="L65" i="31" s="1"/>
  <c r="H63" i="31"/>
  <c r="H65" i="31" s="1"/>
  <c r="F72" i="26" s="1"/>
  <c r="L10" i="26" s="1"/>
  <c r="H63" i="28"/>
  <c r="H65" i="28" s="1"/>
  <c r="F22" i="26" s="1"/>
  <c r="L8" i="26" s="1"/>
  <c r="L59" i="27"/>
  <c r="L63" i="27" s="1"/>
  <c r="L65" i="27" s="1"/>
  <c r="H63" i="27"/>
  <c r="H65" i="27" s="1"/>
  <c r="F31" i="26" s="1"/>
  <c r="L9" i="26" s="1"/>
  <c r="Y11" i="32"/>
  <c r="Z11" i="32" s="1"/>
  <c r="L65" i="30"/>
  <c r="W11" i="32" s="1"/>
  <c r="AB11" i="32"/>
  <c r="AD11" i="32" s="1"/>
  <c r="M11" i="32"/>
  <c r="N11" i="32" s="1"/>
  <c r="P11" i="32" s="1"/>
  <c r="M9" i="32"/>
  <c r="N9" i="32" s="1"/>
  <c r="AB9" i="32"/>
  <c r="U9" i="32"/>
  <c r="Y9" i="32"/>
  <c r="M10" i="32"/>
  <c r="N10" i="32" s="1"/>
  <c r="Y10" i="32"/>
  <c r="AB10" i="32"/>
  <c r="U10" i="32"/>
  <c r="L65" i="24"/>
  <c r="W9" i="32" s="1"/>
  <c r="K57" i="31"/>
  <c r="K63" i="31" s="1"/>
  <c r="K65" i="27"/>
  <c r="K56" i="28"/>
  <c r="H65" i="23"/>
  <c r="C24" i="3" s="1"/>
  <c r="L57" i="28"/>
  <c r="K65" i="25"/>
  <c r="T10" i="32" s="1"/>
  <c r="F10" i="32" s="1"/>
  <c r="K65" i="24"/>
  <c r="T9" i="32" s="1"/>
  <c r="F9" i="32" s="1"/>
  <c r="L65" i="23"/>
  <c r="W8" i="32" s="1"/>
  <c r="K63" i="23"/>
  <c r="S8" i="32" s="1"/>
  <c r="E7" i="32" l="1"/>
  <c r="E12" i="32" s="1"/>
  <c r="AA11" i="32"/>
  <c r="AC11" i="32"/>
  <c r="I11" i="32" s="1"/>
  <c r="G11" i="32" s="1"/>
  <c r="H11" i="32"/>
  <c r="H31" i="3"/>
  <c r="M8" i="32"/>
  <c r="N8" i="32" s="1"/>
  <c r="U8" i="32"/>
  <c r="AB8" i="32"/>
  <c r="Y8" i="32"/>
  <c r="AD10" i="32"/>
  <c r="AC10" i="32"/>
  <c r="I10" i="32" s="1"/>
  <c r="G10" i="32" s="1"/>
  <c r="AA10" i="32"/>
  <c r="Z10" i="32"/>
  <c r="H10" i="32" s="1"/>
  <c r="F31" i="3"/>
  <c r="P10" i="32"/>
  <c r="B27" i="32" s="1"/>
  <c r="AA9" i="32"/>
  <c r="Z9" i="32"/>
  <c r="H9" i="32" s="1"/>
  <c r="AD9" i="32"/>
  <c r="AC9" i="32"/>
  <c r="I9" i="32" s="1"/>
  <c r="G9" i="32" s="1"/>
  <c r="P9" i="32"/>
  <c r="K65" i="31"/>
  <c r="H31" i="26"/>
  <c r="M9" i="26" s="1"/>
  <c r="L63" i="28"/>
  <c r="V12" i="32" s="1"/>
  <c r="X12" i="32" s="1"/>
  <c r="K57" i="28"/>
  <c r="K65" i="23"/>
  <c r="T8" i="32" s="1"/>
  <c r="F8" i="32" s="1"/>
  <c r="E9" i="32" l="1"/>
  <c r="E13" i="32"/>
  <c r="E10" i="32"/>
  <c r="E8" i="32"/>
  <c r="E11" i="32"/>
  <c r="B20" i="32"/>
  <c r="D7" i="32"/>
  <c r="D8" i="32" s="1"/>
  <c r="Z8" i="32"/>
  <c r="H8" i="32" s="1"/>
  <c r="AA8" i="32"/>
  <c r="AC8" i="32"/>
  <c r="I8" i="32" s="1"/>
  <c r="G8" i="32" s="1"/>
  <c r="AD8" i="32"/>
  <c r="P8" i="32"/>
  <c r="B25" i="32" s="1"/>
  <c r="K8" i="32"/>
  <c r="H28" i="3"/>
  <c r="H29" i="3" s="1"/>
  <c r="H72" i="26"/>
  <c r="M10" i="26" s="1"/>
  <c r="L65" i="28"/>
  <c r="W12" i="32" s="1"/>
  <c r="K63" i="28"/>
  <c r="S12" i="32" l="1"/>
  <c r="U12" i="32" s="1"/>
  <c r="D11" i="32"/>
  <c r="D9" i="32"/>
  <c r="D10" i="32"/>
  <c r="D12" i="32"/>
  <c r="D13" i="32"/>
  <c r="L8" i="32"/>
  <c r="J8" i="32" s="1"/>
  <c r="B19" i="32"/>
  <c r="B28" i="32"/>
  <c r="F28" i="3"/>
  <c r="F29" i="3" s="1"/>
  <c r="K65" i="28"/>
  <c r="T12" i="32" s="1"/>
  <c r="F12" i="32" s="1"/>
  <c r="J10" i="32" l="1"/>
  <c r="J11" i="32"/>
  <c r="C7" i="32"/>
  <c r="C9" i="32" s="1"/>
  <c r="M12" i="32"/>
  <c r="N12" i="32" s="1"/>
  <c r="P12" i="32" s="1"/>
  <c r="B31" i="32" s="1"/>
  <c r="AB12" i="32"/>
  <c r="AC12" i="32" s="1"/>
  <c r="I12" i="32" s="1"/>
  <c r="G12" i="32" s="1"/>
  <c r="Y12" i="32"/>
  <c r="AA12" i="32" s="1"/>
  <c r="J9" i="32"/>
  <c r="J28" i="3"/>
  <c r="J29" i="3" s="1"/>
  <c r="H22" i="26"/>
  <c r="M8" i="26" s="1"/>
  <c r="C10" i="32" l="1"/>
  <c r="C11" i="32"/>
  <c r="J31" i="3"/>
  <c r="C8" i="32"/>
  <c r="C13" i="32"/>
  <c r="Z12" i="32"/>
  <c r="H12" i="32" s="1"/>
  <c r="AD12" i="32"/>
  <c r="C12" i="32"/>
  <c r="J12" i="32"/>
  <c r="B29" i="32"/>
  <c r="B26" i="32"/>
  <c r="B21"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tc={F1C0D67F-2459-497F-B817-FFBCAED76FE8}</author>
    <author>tc={DB32BB55-312F-425B-814F-6D9C57A9AD17}</author>
    <author>tc={F02FDB83-3719-40D7-815C-0EF1EF2402E4}</author>
    <author>tc={B21FBF07-D476-48AA-996D-B7B5B1BBC8D8}</author>
    <author>tc={1C6B5257-6ADE-48EA-84FC-1C050868590A}</author>
    <author>tc={F5DD346A-3797-4838-933F-4F71C7C31E18}</author>
    <author>tc={10177331-3B32-4C93-8F31-74E8BC59D77E}</author>
    <author>tc={C09B0257-0606-4E29-91FA-9B3ACD5F7C1D}</author>
    <author>tc={6D051E08-CAAF-4484-BFCB-26EAB630FBF2}</author>
    <author>tc={BEDEC868-D676-4492-B494-AC20E305344E}</author>
    <author>tc={7440CEA8-CD18-4814-80AF-C87AA67BBC93}</author>
    <author>tc={2864A622-21F8-43B9-9F5E-D6BAA7669CF0}</author>
    <author>tc={139D2D28-2652-44DA-97DD-E759160AB56B}</author>
    <author>tc={AC05089B-F94C-40EF-A329-C7E485CEF500}</author>
    <author>tc={FDF7DD63-11C8-45AD-B3DB-D9993C8733DB}</author>
  </authors>
  <commentList>
    <comment ref="G59" authorId="0" shapeId="0" xr:uid="{F1C0D67F-2459-497F-B817-FFBCAED76FE8}">
      <text>
        <t>[Threaded comment]
Your version of Excel allows you to read this threaded comment; however, any edits to it will get removed if the file is opened in a newer version of Excel. Learn more: https://go.microsoft.com/fwlink/?linkid=870924
Comment:
    This one is a stacked unit instead of all-in-one</t>
      </text>
    </comment>
    <comment ref="B73" authorId="1" shapeId="0" xr:uid="{DB32BB55-312F-425B-814F-6D9C57A9AD17}">
      <text>
        <t>[Threaded comment]
Your version of Excel allows you to read this threaded comment; however, any edits to it will get removed if the file is opened in a newer version of Excel. Learn more: https://go.microsoft.com/fwlink/?linkid=870924
Comment:
    The product name says 6.0 cu.ft but the specification information says 5 cu.ft. Not sure which one is the right one</t>
      </text>
    </comment>
    <comment ref="H109" authorId="2" shapeId="0" xr:uid="{F02FDB83-3719-40D7-815C-0EF1EF2402E4}">
      <text>
        <t>[Threaded comment]
Your version of Excel allows you to read this threaded comment; however, any edits to it will get removed if the file is opened in a newer version of Excel. Learn more: https://go.microsoft.com/fwlink/?linkid=870924
Comment:
    If there are 2 values, lower value is for bake and higher value is for broil</t>
      </text>
    </comment>
    <comment ref="C110" authorId="3" shapeId="0" xr:uid="{B21FBF07-D476-48AA-996D-B7B5B1BBC8D8}">
      <text>
        <t>[Threaded comment]
Your version of Excel allows you to read this threaded comment; however, any edits to it will get removed if the file is opened in a newer version of Excel. Learn more: https://go.microsoft.com/fwlink/?linkid=870924
Comment:
    Unsure if this is the voltage for this</t>
      </text>
    </comment>
    <comment ref="C112" authorId="4" shapeId="0" xr:uid="{1C6B5257-6ADE-48EA-84FC-1C050868590A}">
      <text>
        <t>[Threaded comment]
Your version of Excel allows you to read this threaded comment; however, any edits to it will get removed if the file is opened in a newer version of Excel. Learn more: https://go.microsoft.com/fwlink/?linkid=870924
Comment:
    Unsure if this is the voltage for this</t>
      </text>
    </comment>
    <comment ref="H115" authorId="5" shapeId="0" xr:uid="{F5DD346A-3797-4838-933F-4F71C7C31E18}">
      <text>
        <t>[Threaded comment]
Your version of Excel allows you to read this threaded comment; however, any edits to it will get removed if the file is opened in a newer version of Excel. Learn more: https://go.microsoft.com/fwlink/?linkid=870924
Comment:
    Bake is 2600, broil is 3400</t>
      </text>
    </comment>
    <comment ref="H118" authorId="6" shapeId="0" xr:uid="{10177331-3B32-4C93-8F31-74E8BC59D77E}">
      <text>
        <t>[Threaded comment]
Your version of Excel allows you to read this threaded comment; however, any edits to it will get removed if the file is opened in a newer version of Excel. Learn more: https://go.microsoft.com/fwlink/?linkid=870924
Comment:
    Both bake and broil is 2500</t>
      </text>
    </comment>
    <comment ref="H122" authorId="7" shapeId="0" xr:uid="{C09B0257-0606-4E29-91FA-9B3ACD5F7C1D}">
      <text>
        <t>[Threaded comment]
Your version of Excel allows you to read this threaded comment; however, any edits to it will get removed if the file is opened in a newer version of Excel. Learn more: https://go.microsoft.com/fwlink/?linkid=870924
Comment:
    If there are 2 values, lower value is for bake and higher value is for broil</t>
      </text>
    </comment>
    <comment ref="H124" authorId="8" shapeId="0" xr:uid="{6D051E08-CAAF-4484-BFCB-26EAB630FBF2}">
      <text>
        <t>[Threaded comment]
Your version of Excel allows you to read this threaded comment; however, any edits to it will get removed if the file is opened in a newer version of Excel. Learn more: https://go.microsoft.com/fwlink/?linkid=870924
Comment:
    Bake is 2500 and broil is 2900</t>
      </text>
    </comment>
    <comment ref="C125" authorId="9" shapeId="0" xr:uid="{BEDEC868-D676-4492-B494-AC20E305344E}">
      <text>
        <t>[Threaded comment]
Your version of Excel allows you to read this threaded comment; however, any edits to it will get removed if the file is opened in a newer version of Excel. Learn more: https://go.microsoft.com/fwlink/?linkid=870924
Comment:
    Unsure if this is the voltage for this</t>
      </text>
    </comment>
    <comment ref="C128" authorId="10" shapeId="0" xr:uid="{7440CEA8-CD18-4814-80AF-C87AA67BBC93}">
      <text>
        <t>[Threaded comment]
Your version of Excel allows you to read this threaded comment; however, any edits to it will get removed if the file is opened in a newer version of Excel. Learn more: https://go.microsoft.com/fwlink/?linkid=870924
Comment:
    Unsure if this is the voltage for this</t>
      </text>
    </comment>
    <comment ref="H132" authorId="11" shapeId="0" xr:uid="{2864A622-21F8-43B9-9F5E-D6BAA7669CF0}">
      <text>
        <t>[Threaded comment]
Your version of Excel allows you to read this threaded comment; however, any edits to it will get removed if the file is opened in a newer version of Excel. Learn more: https://go.microsoft.com/fwlink/?linkid=870924
Comment:
    Bake is 2600 and broil is 3400</t>
      </text>
    </comment>
    <comment ref="H151" authorId="12" shapeId="0" xr:uid="{139D2D28-2652-44DA-97DD-E759160AB56B}">
      <text>
        <t>[Threaded comment]
Your version of Excel allows you to read this threaded comment; however, any edits to it will get removed if the file is opened in a newer version of Excel. Learn more: https://go.microsoft.com/fwlink/?linkid=870924
Comment:
    This seems really low</t>
      </text>
    </comment>
    <comment ref="C208" authorId="13" shapeId="0" xr:uid="{AC05089B-F94C-40EF-A329-C7E485CEF500}">
      <text>
        <t>[Threaded comment]
Your version of Excel allows you to read this threaded comment; however, any edits to it will get removed if the file is opened in a newer version of Excel. Learn more: https://go.microsoft.com/fwlink/?linkid=870924
Comment:
    Seems a little small</t>
      </text>
    </comment>
    <comment ref="C209" authorId="14" shapeId="0" xr:uid="{FDF7DD63-11C8-45AD-B3DB-D9993C8733DB}">
      <text>
        <t>[Threaded comment]
Your version of Excel allows you to read this threaded comment; however, any edits to it will get removed if the file is opened in a newer version of Excel. Learn more: https://go.microsoft.com/fwlink/?linkid=870924
Comment:
    Seems a little small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<sst xmlns="http://schemas.openxmlformats.org/spreadsheetml/2006/main" count="2157" uniqueCount="784">
  <si>
    <t>Residential Electrical Service Upgrade Decision Tool - Individual Home Tool</t>
  </si>
  <si>
    <t>This space provided to record notes based on the results of the selections and options made in the following sheets.</t>
  </si>
  <si>
    <t xml:space="preserve">Enter Home Information Below </t>
  </si>
  <si>
    <t>Legend</t>
  </si>
  <si>
    <t>Input expected (default value may be shown)</t>
  </si>
  <si>
    <t>Input selected for "N" or similar negative input chosen</t>
  </si>
  <si>
    <t>Optional inputs</t>
  </si>
  <si>
    <t>Calculation output values / no inputs permitted</t>
  </si>
  <si>
    <t>Text</t>
  </si>
  <si>
    <t>This is guidance information text.</t>
  </si>
  <si>
    <t>Customer Information</t>
  </si>
  <si>
    <t>Notes:</t>
  </si>
  <si>
    <t>Name</t>
  </si>
  <si>
    <t>Jane Doe</t>
  </si>
  <si>
    <t>Address</t>
  </si>
  <si>
    <t>123 Any Street</t>
  </si>
  <si>
    <t>Address 2</t>
  </si>
  <si>
    <t>City</t>
  </si>
  <si>
    <t>Any Town</t>
  </si>
  <si>
    <t>State</t>
  </si>
  <si>
    <t>California</t>
  </si>
  <si>
    <t>County</t>
  </si>
  <si>
    <t>Alameda</t>
  </si>
  <si>
    <t>This is used for BTUh calculations for heating and cooling load.</t>
  </si>
  <si>
    <t>ZIP Code</t>
  </si>
  <si>
    <t>Residence Information</t>
  </si>
  <si>
    <t>Type of residence</t>
  </si>
  <si>
    <t>Detached SF</t>
  </si>
  <si>
    <t>Year of construction</t>
  </si>
  <si>
    <t>Before - 1975</t>
  </si>
  <si>
    <t>This is used to establish the likely level of tightness and insulation in the home.</t>
  </si>
  <si>
    <t>Square feet living space</t>
  </si>
  <si>
    <t>Gross conditioned space square footage (not including garage).</t>
  </si>
  <si>
    <t>Local Electrical Utility</t>
  </si>
  <si>
    <t>PG&amp;E</t>
  </si>
  <si>
    <t>Existing Electrical Panel Information</t>
  </si>
  <si>
    <t>Panel Name</t>
  </si>
  <si>
    <t>Main Panel</t>
  </si>
  <si>
    <t>Panel Voltage Rating</t>
  </si>
  <si>
    <t>240/120 V</t>
  </si>
  <si>
    <t>Existing Main Panel Disconnect Rating</t>
  </si>
  <si>
    <t xml:space="preserve">This amperage is the starting point for the load calculations. </t>
  </si>
  <si>
    <t>Size of Panel (number of slots)</t>
  </si>
  <si>
    <t>Enter Existing Building System Information Below</t>
  </si>
  <si>
    <t>Electrical Characteristics of System</t>
  </si>
  <si>
    <t>Existing Loads</t>
  </si>
  <si>
    <t>Select 'Y' if System Exists in Home</t>
  </si>
  <si>
    <t>Description</t>
  </si>
  <si>
    <t>Type</t>
  </si>
  <si>
    <t>Main Energy Source</t>
  </si>
  <si>
    <t xml:space="preserve"> Assumed Size</t>
  </si>
  <si>
    <t>Default Voltage</t>
  </si>
  <si>
    <t>Assumed Nameplate Power (VA)</t>
  </si>
  <si>
    <t>Use Default?</t>
  </si>
  <si>
    <t>Manual Voltage</t>
  </si>
  <si>
    <t>Manual Amperage</t>
  </si>
  <si>
    <t>Volt-Amps (VA)</t>
  </si>
  <si>
    <t>Y</t>
  </si>
  <si>
    <t>Space Heating</t>
  </si>
  <si>
    <t>Central forced air</t>
  </si>
  <si>
    <t>NG, Propane, Fuel oil</t>
  </si>
  <si>
    <t>Sized up to the nearset 1/2 Ton. Adjust for actual if known for a more accurate calculation.  If using central air, the AHU is included two rows down and backup strip heat is three rows down.</t>
  </si>
  <si>
    <t>Space Cooling</t>
  </si>
  <si>
    <t>Electric</t>
  </si>
  <si>
    <t>Sized up to the nearset 1/2 Ton. Adjust for actual if known for a more accurate calculation.</t>
  </si>
  <si>
    <t>Ventilation</t>
  </si>
  <si>
    <t>Air Handler</t>
  </si>
  <si>
    <t>AHU fan and controls only.  Backup strip heat is the next line item.</t>
  </si>
  <si>
    <t>N</t>
  </si>
  <si>
    <t>Strip Heat</t>
  </si>
  <si>
    <t>Will normally be part of the AHU, and typically only included if a Heat Pump is installed. Assumes strip heat is sized for 75% of the house heating load.</t>
  </si>
  <si>
    <t>Clothes Washer</t>
  </si>
  <si>
    <t>Side by Side Full size</t>
  </si>
  <si>
    <t>Clothes Dryer</t>
  </si>
  <si>
    <t>NG, Propane</t>
  </si>
  <si>
    <t>If electric, must use nameplate if higher than 5000 VA</t>
  </si>
  <si>
    <t>Range (cooktop and oven)</t>
  </si>
  <si>
    <t>30" CT/Oven</t>
  </si>
  <si>
    <t>If electric, must use nameplate if higher than 8000 VA</t>
  </si>
  <si>
    <t>Oven (seperates) - Single</t>
  </si>
  <si>
    <t>If electric, must use nameplate if higher than 4800 VA</t>
  </si>
  <si>
    <t>Oven (seperates) - Double</t>
  </si>
  <si>
    <t>Cooktop (seperates)</t>
  </si>
  <si>
    <t>If electric, must use nameplate if higher than 3600 VA</t>
  </si>
  <si>
    <t>Water Heater</t>
  </si>
  <si>
    <t>Tank &lt; 50gal</t>
  </si>
  <si>
    <t>Water heater 2</t>
  </si>
  <si>
    <t>EV Charger</t>
  </si>
  <si>
    <t>32 Amp</t>
  </si>
  <si>
    <t>Calculated using a 40% CF &amp; 125% increase for large continuous loads per NEC 625.14</t>
  </si>
  <si>
    <t>Other Large Loads 1</t>
  </si>
  <si>
    <t>Data must be input manually for the Other loads</t>
  </si>
  <si>
    <t>Other Large Loads 2</t>
  </si>
  <si>
    <t>Other Large Loads 3</t>
  </si>
  <si>
    <t>Other Existing Electric Loads (not impacted by electrification retrofit)</t>
  </si>
  <si>
    <t>General Loads</t>
  </si>
  <si>
    <t>Notes</t>
  </si>
  <si>
    <t>Quantity</t>
  </si>
  <si>
    <t>Default Power</t>
  </si>
  <si>
    <t>Manual Volt-Amps (VA)</t>
  </si>
  <si>
    <t>Req'd</t>
  </si>
  <si>
    <t>Lighting Circuits</t>
  </si>
  <si>
    <t>Must be at least 3 W/sf</t>
  </si>
  <si>
    <t>Small Appliance Circuits (2 circuits minimum)</t>
  </si>
  <si>
    <t>Must have at least two circuits</t>
  </si>
  <si>
    <t>Laundry Circuit (1500 VA minimum)</t>
  </si>
  <si>
    <t>Must have at least one 1500W circuit IF THERE IS A LAUNDRY</t>
  </si>
  <si>
    <t>Fixed Appliances</t>
  </si>
  <si>
    <t>Exists in Home?</t>
  </si>
  <si>
    <t>Refrigerator</t>
  </si>
  <si>
    <t>Garbage Disposal</t>
  </si>
  <si>
    <t>Dishwasher</t>
  </si>
  <si>
    <t>Microwave</t>
  </si>
  <si>
    <t>Kitchen Hood</t>
  </si>
  <si>
    <t>Bathroom Fan</t>
  </si>
  <si>
    <t>Other Appliance 1</t>
  </si>
  <si>
    <t>Other Appliance 2</t>
  </si>
  <si>
    <t>Other Appliance 3</t>
  </si>
  <si>
    <t>Select Building System Electrification Goals</t>
  </si>
  <si>
    <t xml:space="preserve">Default electrification systems reflect Standard Practice 1:1 replacements for the existing gas systems.  If system details are known, enter in the Manual Input cells. </t>
  </si>
  <si>
    <t>System details on this page may imply a need for panel and service upgrades.  Use the optimization tabs to identify potential strategies to avoid panel upgrades.</t>
  </si>
  <si>
    <t>Carries over from Systems and Loads if existing and not upgraded</t>
  </si>
  <si>
    <t>Electrical Characteristics of New System</t>
  </si>
  <si>
    <t>Load Calculation Values</t>
  </si>
  <si>
    <t>Upgrade/Electrify System?</t>
  </si>
  <si>
    <t>Manual Input Voltage</t>
  </si>
  <si>
    <t>Manual Input Amperage</t>
  </si>
  <si>
    <t>Fuel Source</t>
  </si>
  <si>
    <t>Electric - Heat Pump</t>
  </si>
  <si>
    <t>Electric - Induction</t>
  </si>
  <si>
    <t>Water Heater 2</t>
  </si>
  <si>
    <t>Tankless 3gpm</t>
  </si>
  <si>
    <t>50 Amp</t>
  </si>
  <si>
    <t>Panel Electrification Results</t>
  </si>
  <si>
    <t>Panel Optimization Recommendations</t>
  </si>
  <si>
    <t>Baseline</t>
  </si>
  <si>
    <t>Electrification Options</t>
  </si>
  <si>
    <t>Opt #1 - Low Pwr Appliances</t>
  </si>
  <si>
    <t>Opt #2 - Right-Size HVAC</t>
  </si>
  <si>
    <t>Opt #3 - Load Mgmt</t>
  </si>
  <si>
    <t>Baseline Amperage</t>
  </si>
  <si>
    <t>Amperage of Full Electrification</t>
  </si>
  <si>
    <t>Amps Saved by Options</t>
  </si>
  <si>
    <t>% Amps Saved</t>
  </si>
  <si>
    <t>Total Amperage</t>
  </si>
  <si>
    <t>Measure Tracking Table</t>
  </si>
  <si>
    <t>Optimization Options Selected</t>
  </si>
  <si>
    <t>Elect. Initial Upgrade</t>
  </si>
  <si>
    <t>N/A</t>
  </si>
  <si>
    <t>Air Conditioning</t>
  </si>
  <si>
    <t>Strip Heat Backup</t>
  </si>
  <si>
    <t>Circuit Sharing</t>
  </si>
  <si>
    <t>Dynamic EV Charging</t>
  </si>
  <si>
    <t>Smart Panel</t>
  </si>
  <si>
    <t>This system has an upgrade or an optimization chosen at this step</t>
  </si>
  <si>
    <t>This system does not have an upgrade or an optimization chosen at this step</t>
  </si>
  <si>
    <t>Opt. 1</t>
  </si>
  <si>
    <t>This system has an upgrade or optimization, but it is being carried through this step</t>
  </si>
  <si>
    <t>Proposed Building Systems Changes Round #1 - Low-Power Appliances</t>
  </si>
  <si>
    <t>Consider a 120-volt Heat Pump water heater</t>
  </si>
  <si>
    <t>Being Upgraded?</t>
  </si>
  <si>
    <t>Modify to 120V Water Heater?</t>
  </si>
  <si>
    <t>Default Power (VA)</t>
  </si>
  <si>
    <t>Electric - HP 120V</t>
  </si>
  <si>
    <t>Carries over from Systems and Loads -&gt; Upgrades if not upgraded</t>
  </si>
  <si>
    <t>Consider a Heat Pump Dryer (240/120V)</t>
  </si>
  <si>
    <t>Use a Heat Pump dryer?</t>
  </si>
  <si>
    <t>Washer</t>
  </si>
  <si>
    <t>Heat Pump dryer or combo</t>
  </si>
  <si>
    <t>120V Side by Side dryer</t>
  </si>
  <si>
    <t>If you have kitchen 'seperates' (gas or electric), consider</t>
  </si>
  <si>
    <t>using a single combined electric induction cooktop/oven…</t>
  </si>
  <si>
    <t>Use combined induction cooktop/oven?</t>
  </si>
  <si>
    <t>120V Ind. CT/Oven</t>
  </si>
  <si>
    <t>If you are adding or have an EV charger,</t>
  </si>
  <si>
    <t>consider reducing the charging speed to 32 Amps or lower…</t>
  </si>
  <si>
    <t>Reduce EV Charger Speed?</t>
  </si>
  <si>
    <t>Proposed Building Systems Changes Round #2 - HVAC Sizing Adjustments</t>
  </si>
  <si>
    <t>Consider making improvements to home envelope</t>
  </si>
  <si>
    <t>Modify by changing HVAC Sizing?</t>
  </si>
  <si>
    <t>Adjusted Size</t>
  </si>
  <si>
    <t xml:space="preserve">Consider removing the Strip Heat Backup </t>
  </si>
  <si>
    <t>Being Upgraded or added?</t>
  </si>
  <si>
    <t>Reduce or eliminate Strip Heat?</t>
  </si>
  <si>
    <t>Backup Strip Heat</t>
  </si>
  <si>
    <t>None</t>
  </si>
  <si>
    <t>Proposed Building Systems Changes Round #3 - Load Management</t>
  </si>
  <si>
    <t>The following strategies can only be viably be done independent of the other approaches on this page.</t>
  </si>
  <si>
    <t>For that reason, select only one of them to employ to run the calculations.  The other two can be set up and the information will not be lost,</t>
  </si>
  <si>
    <t>but only the option selected in the below three options will be used for the calculations.</t>
  </si>
  <si>
    <t>Use This Approach?</t>
  </si>
  <si>
    <t>Current Setting
Results</t>
  </si>
  <si>
    <t>EV Charger circuit sharing</t>
  </si>
  <si>
    <t>Dynamic EV charging</t>
  </si>
  <si>
    <t>Smart Panel or Smart Breakers</t>
  </si>
  <si>
    <t>Consider sharing an EV Charger and another circuit…</t>
  </si>
  <si>
    <t>Share Circuits?</t>
  </si>
  <si>
    <t>Choose Low Power Appliance or Initial Upgrade Values</t>
  </si>
  <si>
    <t>Low Power Appliances</t>
  </si>
  <si>
    <t>Init. Upgrade</t>
  </si>
  <si>
    <t>Calculation results:</t>
  </si>
  <si>
    <t>Consider installing Dynamic EV charging capabilities…</t>
  </si>
  <si>
    <t>Included in Electrified Home?</t>
  </si>
  <si>
    <t>Dynamic charging capable?</t>
  </si>
  <si>
    <t>Consider Smart Panel or Smart Breaker devices…</t>
  </si>
  <si>
    <t>Shed loads by Smart Breaker/Panel?</t>
  </si>
  <si>
    <t>Choose Initial Upgrade, Low Power Appliance Option, or HVAC Right-Size Source Values</t>
  </si>
  <si>
    <t>No</t>
  </si>
  <si>
    <t>HVAC Right-Size</t>
  </si>
  <si>
    <t>Not recommended for peak shaving</t>
  </si>
  <si>
    <t>Yes</t>
  </si>
  <si>
    <t>Hidden Tab</t>
  </si>
  <si>
    <t>Existing (Baseline) Panel NEC Load Calculation Report</t>
  </si>
  <si>
    <t>Main Panel Disconnect Rating</t>
  </si>
  <si>
    <t>Device</t>
  </si>
  <si>
    <t>Load Description</t>
  </si>
  <si>
    <t>Total Calculated Power (VA)</t>
  </si>
  <si>
    <t>Fixed Values</t>
  </si>
  <si>
    <t>Variable Values</t>
  </si>
  <si>
    <t>Baseline loads</t>
  </si>
  <si>
    <t>Lighting (3VA/sf)</t>
  </si>
  <si>
    <t>Small Appliance Circuits (1500 VA per circuit)</t>
  </si>
  <si>
    <t>Laundry</t>
  </si>
  <si>
    <t>Dryer</t>
  </si>
  <si>
    <t>Kitchen</t>
  </si>
  <si>
    <t>Range (oven and cooktop)</t>
  </si>
  <si>
    <t>Oven (as seperates) (single wall)</t>
  </si>
  <si>
    <t>Oven (as seperates) (double wall)</t>
  </si>
  <si>
    <t>Cooktop (as seperates)</t>
  </si>
  <si>
    <t>Other Fixed Appliances</t>
  </si>
  <si>
    <t>Other Large Loads</t>
  </si>
  <si>
    <t>Other 1</t>
  </si>
  <si>
    <t>Other 2</t>
  </si>
  <si>
    <t>Other 3</t>
  </si>
  <si>
    <t>Water Heating</t>
  </si>
  <si>
    <t>Water heater</t>
  </si>
  <si>
    <t>HVAC</t>
  </si>
  <si>
    <t>Not counted in 40% calc</t>
  </si>
  <si>
    <t>Strip Heat (65% CF applied)</t>
  </si>
  <si>
    <t>Counted as 40% * 125% = 50% CF when combined</t>
  </si>
  <si>
    <t>Service Load Volt-Amperes (VA)</t>
  </si>
  <si>
    <t>Initial 8,000 VA</t>
  </si>
  <si>
    <t>40% Coincidence Factor over 8,000 (VA)</t>
  </si>
  <si>
    <t>(1.0 CF)</t>
  </si>
  <si>
    <t>(1.25 CF)</t>
  </si>
  <si>
    <t>Total VA</t>
  </si>
  <si>
    <t>Total Service Load Amperes (A)</t>
  </si>
  <si>
    <t>Service Rating Amperes (A)</t>
  </si>
  <si>
    <t>Opt1 Panel NEC Load Calculation Report</t>
  </si>
  <si>
    <r>
      <t xml:space="preserve">Opt2 Panel NEC Load Calculation Report - </t>
    </r>
    <r>
      <rPr>
        <sz val="20"/>
        <color rgb="FFFF0000"/>
        <rFont val="Calibri"/>
        <family val="2"/>
        <scheme val="minor"/>
      </rPr>
      <t>HVAC Resizing</t>
    </r>
  </si>
  <si>
    <r>
      <t xml:space="preserve">Opt3a Panel NEC Load Calculation Report - </t>
    </r>
    <r>
      <rPr>
        <sz val="20"/>
        <color rgb="FFFF0000"/>
        <rFont val="Calibri"/>
        <family val="2"/>
        <scheme val="minor"/>
      </rPr>
      <t>Circuit Sharing</t>
    </r>
  </si>
  <si>
    <t>Dryer removed because shared with EV charger</t>
  </si>
  <si>
    <r>
      <t xml:space="preserve">Opt3b Panel NEC Load Calculation Report - </t>
    </r>
    <r>
      <rPr>
        <sz val="20"/>
        <color rgb="FFFF0000"/>
        <rFont val="Calibri"/>
        <family val="2"/>
        <scheme val="minor"/>
      </rPr>
      <t>Dynamic EV Charging</t>
    </r>
  </si>
  <si>
    <r>
      <t xml:space="preserve">Opt3c Panel NEC Load Calculation Report - </t>
    </r>
    <r>
      <rPr>
        <sz val="20"/>
        <color rgb="FFFF0000"/>
        <rFont val="Calibri"/>
        <family val="2"/>
        <scheme val="minor"/>
      </rPr>
      <t>Dynamic EV Charging</t>
    </r>
  </si>
  <si>
    <t>Property Information</t>
  </si>
  <si>
    <t>Type of Residence</t>
  </si>
  <si>
    <t>Year of Construction</t>
  </si>
  <si>
    <t>Utility</t>
  </si>
  <si>
    <t>Duplex</t>
  </si>
  <si>
    <t>1976 - 2000</t>
  </si>
  <si>
    <t>SCE</t>
  </si>
  <si>
    <t>Triplex</t>
  </si>
  <si>
    <t>2000 or Newer</t>
  </si>
  <si>
    <t>SDG&amp;E</t>
  </si>
  <si>
    <t>PacifiCorp</t>
  </si>
  <si>
    <t>Liberty</t>
  </si>
  <si>
    <t>Local POU</t>
  </si>
  <si>
    <t>Baseline Systems</t>
  </si>
  <si>
    <t>Include?</t>
  </si>
  <si>
    <t>Laundry Circuits</t>
  </si>
  <si>
    <t>Small Appliance Circuits</t>
  </si>
  <si>
    <t>240 - 120 V</t>
  </si>
  <si>
    <t>120 V</t>
  </si>
  <si>
    <t>Tons</t>
  </si>
  <si>
    <t>BTU/sf</t>
  </si>
  <si>
    <t>W/ton</t>
  </si>
  <si>
    <t>Space Heating Types</t>
  </si>
  <si>
    <t>Space Heating Energy Source</t>
  </si>
  <si>
    <t>Heating size</t>
  </si>
  <si>
    <t>Default Electrical  NG/P/FO</t>
  </si>
  <si>
    <t>Electric Resistance</t>
  </si>
  <si>
    <t>Heat Pump Nameplate</t>
  </si>
  <si>
    <t>Air Conditioning Type</t>
  </si>
  <si>
    <t>Air Conditioning Size</t>
  </si>
  <si>
    <t>AC Nameplate</t>
  </si>
  <si>
    <t>Ventilation Default</t>
  </si>
  <si>
    <t>Strip Heater</t>
  </si>
  <si>
    <t>Strip Heat Default</t>
  </si>
  <si>
    <t>Baseboard</t>
  </si>
  <si>
    <t>Window Unit/s</t>
  </si>
  <si>
    <t>Other</t>
  </si>
  <si>
    <t>Swamp Cooler / Whole House Fan</t>
  </si>
  <si>
    <t>Assume 100w for a pump or blower and electronics</t>
  </si>
  <si>
    <t>Convert btu/h of heating size to W</t>
  </si>
  <si>
    <t>Assume 11 SEER, about 1100 watts per ton</t>
  </si>
  <si>
    <t>Assumes 75% of heat load is used for strip heat backup.</t>
  </si>
  <si>
    <t>Clothes Washer Type</t>
  </si>
  <si>
    <t>Default Clothes Washer</t>
  </si>
  <si>
    <t>Clothes Dryer Type</t>
  </si>
  <si>
    <t>Clothes Dryer Energy Source</t>
  </si>
  <si>
    <t>Clothes Dryer Size</t>
  </si>
  <si>
    <t>Default NG Dryer</t>
  </si>
  <si>
    <t>Default Elec Dryer</t>
  </si>
  <si>
    <t>Default HP Dryer</t>
  </si>
  <si>
    <t>Combination Wash/Dry</t>
  </si>
  <si>
    <t>Stacked Wash/Dry</t>
  </si>
  <si>
    <t>Combined Range</t>
  </si>
  <si>
    <t>Separate Oven Single</t>
  </si>
  <si>
    <t>Separate Oven Double</t>
  </si>
  <si>
    <t>Separate Cooktop</t>
  </si>
  <si>
    <t>Stove Type</t>
  </si>
  <si>
    <t>Stove Energy Source</t>
  </si>
  <si>
    <t>Default NG Combo</t>
  </si>
  <si>
    <t>Default Elec Combo</t>
  </si>
  <si>
    <t>Default IND Combo</t>
  </si>
  <si>
    <t>Oven Type</t>
  </si>
  <si>
    <t>Energy Source</t>
  </si>
  <si>
    <t>Default NG Oven Single</t>
  </si>
  <si>
    <t>Default Elec Oven Single</t>
  </si>
  <si>
    <t>Default NG Oven Double</t>
  </si>
  <si>
    <t>Default Elec Oven Double</t>
  </si>
  <si>
    <t>CT Type</t>
  </si>
  <si>
    <t>Default NG CT</t>
  </si>
  <si>
    <t>Default Elec CT</t>
  </si>
  <si>
    <t>Default IND CT</t>
  </si>
  <si>
    <t>24" (Apt. sz.) CT/Oven</t>
  </si>
  <si>
    <t>30" Single Oven</t>
  </si>
  <si>
    <t>30" Double Oven</t>
  </si>
  <si>
    <t>30" Cooktop</t>
  </si>
  <si>
    <t>36" Cooktop</t>
  </si>
  <si>
    <t xml:space="preserve">36" CT/Oven </t>
  </si>
  <si>
    <t>Water Heater Type</t>
  </si>
  <si>
    <t>Water Heater Energy Source</t>
  </si>
  <si>
    <t>Tankless NG Default</t>
  </si>
  <si>
    <t>WH NG Default</t>
  </si>
  <si>
    <t>WH Elec Tankless Default</t>
  </si>
  <si>
    <t>WH Elec Default</t>
  </si>
  <si>
    <t>WH HP Default</t>
  </si>
  <si>
    <t>Tankless 5gpm</t>
  </si>
  <si>
    <t>Tank &gt;=  50gal</t>
  </si>
  <si>
    <t>EV Wattage</t>
  </si>
  <si>
    <t>40 Amp</t>
  </si>
  <si>
    <t>Panel Loads</t>
  </si>
  <si>
    <t>Use NEC Defaults (Y Default)</t>
  </si>
  <si>
    <t>Voltage</t>
  </si>
  <si>
    <t>Panel Load Rating</t>
  </si>
  <si>
    <t>Panel Size</t>
  </si>
  <si>
    <t>NG/Propane</t>
  </si>
  <si>
    <t>Data pulled from Baseline calcs file</t>
  </si>
  <si>
    <t>btu/h per SF</t>
  </si>
  <si>
    <t>Total</t>
  </si>
  <si>
    <t>County List</t>
  </si>
  <si>
    <t>CZ Assignment</t>
  </si>
  <si>
    <t>CZ CALC Sub</t>
  </si>
  <si>
    <t>CZ3</t>
  </si>
  <si>
    <t>Date Match</t>
  </si>
  <si>
    <t>Heating Formula</t>
  </si>
  <si>
    <t>Heat Sizing (Ton)</t>
  </si>
  <si>
    <t>Electric Res. Heat</t>
  </si>
  <si>
    <t>Electric Res. Heat Size</t>
  </si>
  <si>
    <t>HP Elect Nameplate</t>
  </si>
  <si>
    <t>Heat</t>
  </si>
  <si>
    <t>Cool</t>
  </si>
  <si>
    <t>Alpine</t>
  </si>
  <si>
    <t>=x2</t>
  </si>
  <si>
    <t>=x</t>
  </si>
  <si>
    <t>constant</t>
  </si>
  <si>
    <t>… up to the nearest 10-amp 240 breaker</t>
  </si>
  <si>
    <t>Amador</t>
  </si>
  <si>
    <t>Butte</t>
  </si>
  <si>
    <t>County Match</t>
  </si>
  <si>
    <t>Cooling Formula</t>
  </si>
  <si>
    <t>Cool Sizing (Ton)</t>
  </si>
  <si>
    <t>AC Elect Nameplate OLDER UNIT</t>
  </si>
  <si>
    <t>AC Elect Nameplate NEW UNIT</t>
  </si>
  <si>
    <t>Calaveras</t>
  </si>
  <si>
    <t>Colusa</t>
  </si>
  <si>
    <t>CZ9</t>
  </si>
  <si>
    <t>These adjust the location on the table to the left to get the correct formula.</t>
  </si>
  <si>
    <t>Contra Costa</t>
  </si>
  <si>
    <t>These are a translation of the cnty and date to array row adjustments!</t>
  </si>
  <si>
    <t>Del Norte</t>
  </si>
  <si>
    <t>El Dorado</t>
  </si>
  <si>
    <t>RESIZE FOR ENVELOPE</t>
  </si>
  <si>
    <t>Fresno</t>
  </si>
  <si>
    <t>CZ12</t>
  </si>
  <si>
    <t>Glenn</t>
  </si>
  <si>
    <t>Humboldt</t>
  </si>
  <si>
    <t>Imperial</t>
  </si>
  <si>
    <t>Inyo</t>
  </si>
  <si>
    <t>CZ16</t>
  </si>
  <si>
    <t>Kern</t>
  </si>
  <si>
    <t>Kings</t>
  </si>
  <si>
    <t>AC Elect Nameplate</t>
  </si>
  <si>
    <t>Lake</t>
  </si>
  <si>
    <t>Lassen</t>
  </si>
  <si>
    <t>Los Angeles</t>
  </si>
  <si>
    <t>Madera</t>
  </si>
  <si>
    <t>AC Data</t>
  </si>
  <si>
    <t>HP Data</t>
  </si>
  <si>
    <t>Marin</t>
  </si>
  <si>
    <t>Trane</t>
  </si>
  <si>
    <t>4TTR Line</t>
  </si>
  <si>
    <t>Daikin Data</t>
  </si>
  <si>
    <t>Fit Series</t>
  </si>
  <si>
    <t>Mariposa</t>
  </si>
  <si>
    <t>Mendocino</t>
  </si>
  <si>
    <t>Merced</t>
  </si>
  <si>
    <t>Modoc</t>
  </si>
  <si>
    <t>Mono</t>
  </si>
  <si>
    <t>Monterey</t>
  </si>
  <si>
    <t>Daikin</t>
  </si>
  <si>
    <t>Fit DX6 series</t>
  </si>
  <si>
    <t>Napa</t>
  </si>
  <si>
    <t>Nevada</t>
  </si>
  <si>
    <t>Orange</t>
  </si>
  <si>
    <t>Placer</t>
  </si>
  <si>
    <t>Trane Data</t>
  </si>
  <si>
    <t>4TWR70xxxxx</t>
  </si>
  <si>
    <t>XR17 line</t>
  </si>
  <si>
    <t>Plumas</t>
  </si>
  <si>
    <t>Riverside</t>
  </si>
  <si>
    <t>Sacramento</t>
  </si>
  <si>
    <t>San Bernardino</t>
  </si>
  <si>
    <t>San Diego</t>
  </si>
  <si>
    <t>DX4 series</t>
  </si>
  <si>
    <t>San Francisco</t>
  </si>
  <si>
    <t>4TWR60xxxxx</t>
  </si>
  <si>
    <t>XR16 line</t>
  </si>
  <si>
    <t>San Joaquin</t>
  </si>
  <si>
    <t>San Luis Obispo</t>
  </si>
  <si>
    <t>San Mateo</t>
  </si>
  <si>
    <t>Santa Barbara</t>
  </si>
  <si>
    <t>Santa Clara</t>
  </si>
  <si>
    <t>Santa Cruz</t>
  </si>
  <si>
    <t>Shasta</t>
  </si>
  <si>
    <t>Sierra</t>
  </si>
  <si>
    <t>Goodman</t>
  </si>
  <si>
    <t>GVXC20 series</t>
  </si>
  <si>
    <t>Siskiyou</t>
  </si>
  <si>
    <t>Solano</t>
  </si>
  <si>
    <t>Sonoma</t>
  </si>
  <si>
    <t>Stanislaus</t>
  </si>
  <si>
    <t>Sutter</t>
  </si>
  <si>
    <t>Tehama</t>
  </si>
  <si>
    <t>GXSN3 series</t>
  </si>
  <si>
    <t>Trinity</t>
  </si>
  <si>
    <t>Tulare</t>
  </si>
  <si>
    <t>Tuolumne</t>
  </si>
  <si>
    <t>Ventura</t>
  </si>
  <si>
    <t>Yolo</t>
  </si>
  <si>
    <t>Yuba</t>
  </si>
  <si>
    <t>Retrofit Options Information</t>
  </si>
  <si>
    <t>Retrofit</t>
  </si>
  <si>
    <t>Upgraded Heat Pump</t>
  </si>
  <si>
    <t>AC Efficiency</t>
  </si>
  <si>
    <t>Strip Heat REDUCE</t>
  </si>
  <si>
    <t>Reduce Strip Heat 25%</t>
  </si>
  <si>
    <t>Minisplit</t>
  </si>
  <si>
    <t>Reduce Strip Heat 50%</t>
  </si>
  <si>
    <t>None (Remove AC)</t>
  </si>
  <si>
    <t>Reduce Strip Heat 75%</t>
  </si>
  <si>
    <t>Assume 17 SEER, about 860 watts per ton</t>
  </si>
  <si>
    <t>Clothes Washer Default</t>
  </si>
  <si>
    <t>Delete WH</t>
  </si>
  <si>
    <t>Use NEC Defaults (# of circuits)</t>
  </si>
  <si>
    <t>Reduction Strategies</t>
  </si>
  <si>
    <t>Shared Circuits 1</t>
  </si>
  <si>
    <t>Shared Circuits 2</t>
  </si>
  <si>
    <t>Range</t>
  </si>
  <si>
    <t>W/sf</t>
  </si>
  <si>
    <t>HP Sizes</t>
  </si>
  <si>
    <t>Default Electric Resistance</t>
  </si>
  <si>
    <t>Default Heat Pump</t>
  </si>
  <si>
    <t>Central Air</t>
  </si>
  <si>
    <t>Side by Side dryer</t>
  </si>
  <si>
    <t>Check all values</t>
  </si>
  <si>
    <t>Pulled from https://www.energysage.com/electricity/house-watts/how-many-watts-does-an-air-conditioner-use/</t>
  </si>
  <si>
    <t>Combo Wash/Dry</t>
  </si>
  <si>
    <t>Cooktop Energy Source</t>
  </si>
  <si>
    <t>Induction Cooktop/Oven</t>
  </si>
  <si>
    <t>WH 120HP Default</t>
  </si>
  <si>
    <t>16 Amp (120V)</t>
  </si>
  <si>
    <t>20 Amp</t>
  </si>
  <si>
    <t>Source Values</t>
  </si>
  <si>
    <t>Source Values 2</t>
  </si>
  <si>
    <t>Fixed Loads</t>
  </si>
  <si>
    <t>Possible Impacted Loads</t>
  </si>
  <si>
    <t>Free Load Capacity</t>
  </si>
  <si>
    <t>Excess Load Need</t>
  </si>
  <si>
    <t>Ex Panel Rtg</t>
  </si>
  <si>
    <t>New Elect. Panel Size</t>
  </si>
  <si>
    <t>Opt2</t>
  </si>
  <si>
    <t>Opt3</t>
  </si>
  <si>
    <t>Fixed</t>
  </si>
  <si>
    <t>Variable</t>
  </si>
  <si>
    <t>Available</t>
  </si>
  <si>
    <t>Over Panel Rtg.</t>
  </si>
  <si>
    <t>Normalization Value</t>
  </si>
  <si>
    <t>Max Amps Value</t>
  </si>
  <si>
    <t>Max Panel Rating</t>
  </si>
  <si>
    <t>Total Load</t>
  </si>
  <si>
    <t>Total Amps</t>
  </si>
  <si>
    <t>Original Panel size</t>
  </si>
  <si>
    <t>Needed New Panel Size</t>
  </si>
  <si>
    <t>Total VA Available</t>
  </si>
  <si>
    <t>Load</t>
  </si>
  <si>
    <t>Amps</t>
  </si>
  <si>
    <t>Percent of Available</t>
  </si>
  <si>
    <t xml:space="preserve"> Load</t>
  </si>
  <si>
    <t xml:space="preserve"> Amps</t>
  </si>
  <si>
    <t>Percent Overage</t>
  </si>
  <si>
    <t>Electrification Upgrades</t>
  </si>
  <si>
    <t>Right Size HVAC</t>
  </si>
  <si>
    <t>Panel Status messages</t>
  </si>
  <si>
    <t>Panel optimization recommendation messages</t>
  </si>
  <si>
    <t>Clothes dryer - Gas</t>
  </si>
  <si>
    <t>Red values are indirect (typical) data, not actual for the products</t>
  </si>
  <si>
    <t>Fuel type</t>
  </si>
  <si>
    <t>Size (cu.ft)</t>
  </si>
  <si>
    <t>Connected plug (amps)</t>
  </si>
  <si>
    <t>Estimated Amps</t>
  </si>
  <si>
    <t>Watts</t>
  </si>
  <si>
    <t>Source</t>
  </si>
  <si>
    <t>Gas</t>
  </si>
  <si>
    <t>https://www.homedepot.com/p/Amana-6-5-cu-ft-vented-Front-Load-Gas-Dryer-in-White-with-Wrinkle-Prevent-Option-NGD4655EW/206029545</t>
  </si>
  <si>
    <t>https://www.homedepot.com/p/Hotpoint-6-2-cu-ft-Gas-Dryer-in-White-with-Auto-Dry-HTX24GASKWS/207188949</t>
  </si>
  <si>
    <t>https://www.homedepot.com/p/Frigidaire-6-7-cu-ft-White-Free-Standing-Gas-Dryer-FFRG4120SW/307250113</t>
  </si>
  <si>
    <t>https://www.homedepot.com/p/Electrolux-8-cu-ft-vented-Front-Load-Gas-Dryer-in-Glacier-Blue-ELFG7437AG/326777167</t>
  </si>
  <si>
    <t>https://www.homedepot.com/p/Whirlpool-7-4-cu-ft-120-Volt-White-Commercial-Gas-Vented-Dryer-CGM2745FQ/301847935</t>
  </si>
  <si>
    <t>https://www.homedepot.com/p/GE-6-2-cu-ft-Gas-Dryer-in-White-GTX33GASKWW/206824739</t>
  </si>
  <si>
    <t>https://www.homedepot.com/p/Electrolux-8-cu-ft-White-Front-Load-Perfect-Steam-Gas-Dryer-with-LuxCare-Dry-and-Instant-Refresh-ELFG7537AW/318267802</t>
  </si>
  <si>
    <t>https://www.homedepot.com/p/LG-SIGNATURE-9-0-cu-ft-Vented-SMART-Gas-Dryer-in-Black-Stainless-Steel-with-Touch-Control-Panel-and-TurboSteam-DLGX9501K/207024867</t>
  </si>
  <si>
    <t>https://www.homedepot.com/p/Maytag-7-0-cu-ft-Vented-Gas-Dryer-in-White-MGD5030MW/322116744</t>
  </si>
  <si>
    <t>https://www.homedepot.com/p/Whirlpool-7-0-cu-ft-120-Volt-White-Gas-Vented-Dryer-with-AUTODRY-Drying-System-WGD4950HW/304751320</t>
  </si>
  <si>
    <t>https://www.homedepot.com/p/Maytag-7-0-cu-ft-120-Volt-White-Gas-Vented-Dryer-with-Moisture-Sensing-MGD6200KW/314470563</t>
  </si>
  <si>
    <t>https://www.homedepot.com/p/Whirlpool-7-4-cu-ft-120-Volt-Smart-Chrome-Shadow-Gas-Vented-Dryer-with-Accudry-System-WGD6120HC/312461102</t>
  </si>
  <si>
    <t>https://www.homedepot.com/p/Whirlpool-7-4-cu-ft-120-Volt-Smart-White-Gas-Vented-Dryer-with-Hamper-Door-and-Wrinkle-Shield-Technology-WGD6120HW/312406224</t>
  </si>
  <si>
    <t>https://www.homedepot.com/p/Whirlpool-7-4-cu-ft-Vented-Gas-Dryer-in-Chrome-Shadow-WGD6605MC/321816826</t>
  </si>
  <si>
    <t>https://www.homedepot.com/p/GE-Profile-Profile-7-4-cu-ft-Smart-Gas-Dryer-in-Diamond-Gray-with-Steam-Sanitize-Cycle-and-Sensor-Dry-ENERGY-STAR-PTD70GBPTDG/320119458</t>
  </si>
  <si>
    <t>https://www.homedepot.com/p/Whirlpool-7-4-cu-ft-Chrome-Shadow-Gas-Vented-Dryer-with-Wrinkle-Shield-WGD5100HC/312389354</t>
  </si>
  <si>
    <t>https://www.homedepot.com/p/Whirlpool-7-4-cu-ft-120-Volt-Smart-Chrome-Shadow-Gas-Vented-Dryer-with-a-Hamper-Door-and-Steam-ENERGY-STAR-WGD7120HC/312406142</t>
  </si>
  <si>
    <t>https://www.homedepot.com/p/Whirlpool-7-4-cu-ft-Vented-Gas-Dryer-in-Chrome-Shadow-WGD5605MC/320628875</t>
  </si>
  <si>
    <t>https://www.homedepot.com/p/Samsung-7-4-cu-ft-Vented-Gas-Dryer-with-Sensor-Dry-in-White-DVG50R5200W/309171921</t>
  </si>
  <si>
    <t>https://www.homedepot.com/p/Whirlpool-7-cu-ft-White-Top-Load-Gas-Moisture-Sensing-Dryer-WGD5010LW/317818850</t>
  </si>
  <si>
    <t>https://www.homedepot.com/p/GE-7-2-cu-ft-Gas-Dryer-in-White-with-Sensor-Dry-GTD45GASJWS/206355462</t>
  </si>
  <si>
    <t>https://www.homedepot.com/p/LG-7-3-Cu-Ft-Vented-Gas-Dryer-in-White-with-Sensor-Dry-Technology-DLG7151W/312441941</t>
  </si>
  <si>
    <t>https://www.homedepot.com/p/GE-7-2-cu-ft-Gas-Dryer-in-White-GTD33GASKWW/206824725</t>
  </si>
  <si>
    <t>https://www.homedepot.com/p/GE-7-2-cu-ft-vented-Gas-Dryer-in-White-with-Wrinkle-Care-GTD42GASJWW/206355463</t>
  </si>
  <si>
    <t>https://www.homedepot.com/p/Samsung-7-5-cu-ft-Smart-Gas-Dryer-with-Steam-Sanitize-in-Platinum-DVG45B6300P/319615854</t>
  </si>
  <si>
    <t>Clothes dryer - Electric</t>
  </si>
  <si>
    <t>https://www.bestbuy.com/site/ge-7-2-cu-ft-electric-dryer-white/4374309.p?skuId=4374309</t>
  </si>
  <si>
    <t>https://www.bestbuy.com/site/maytag-7-0-cu-ft-electric-dryer-with-wrinkle-prevent-white/6511466.p?skuId=6511466</t>
  </si>
  <si>
    <t>https://www.bestbuy.com/site/samsung-7-5-cu-ft-stackable-smart-electric-dryer-with-steam-and-sensor-dry-brushed-black/6507596.p?skuId=6507596</t>
  </si>
  <si>
    <t>https://www.bestbuy.com/site/whirlpool-7-cu-ft-electric-dryer-with-autodry-drying-system-white/6203990.p?skuId=6203990</t>
  </si>
  <si>
    <t>https://www.bestbuy.com/site/ge-7-4-cu-ft-front-load-electric-dryer-with-sensor-dry-white-on-white/6530136.p?skuId=6530136</t>
  </si>
  <si>
    <t>https://www.bestbuy.com/site/insignia-6-7-cu-ft-electric-dryer-with-sensor-dry-white/6420142.p?skuId=6420142</t>
  </si>
  <si>
    <t>https://www.bestbuy.com/site/amana-6-5-cu-ft-electric-dryer-with-automatic-dryness-control-white/3073087.p?skuId=3073087</t>
  </si>
  <si>
    <t>https://www.bestbuy.com/site/lg-7-3-cu-ft-smart-electric-dryer-with-easyload-door-graphite-steel/6492269.p?skuId=6492269</t>
  </si>
  <si>
    <t>https://www.bestbuy.com/site/insignia-8-0-cu-ft-electric-dryer-with-steam-sensor-dry-and-energy-star-certification-white/6489654.p?skuId=6489654</t>
  </si>
  <si>
    <t>https://www.bestbuy.com/site/ge-7-8-cu-ft-10-cycle-electric-dryer-white-on-white/6396008.p?skuId=6396008</t>
  </si>
  <si>
    <t>https://www.bestbuy.com/site/samsung-4-0-cu-ft-stackable-smart-electric-dryer-with-ai-smart-dial-white/6507610.p?skuId=6507610</t>
  </si>
  <si>
    <t>https://www.bestbuy.com/site/lg-9-0-cu-ft-stackable-smart-electric-dryer-with-steam-and-built-in-intelligence-black-steel/6492270.p?skuId=6492270</t>
  </si>
  <si>
    <t>Clothes dryer - Heatpump</t>
  </si>
  <si>
    <t>https://www.bestbuy.com/site/lg-4-2-cu-ft-stackable-smart-electric-dryer-with-dual-inverter-heatpump-white/6397871.p?skuId=6397871</t>
  </si>
  <si>
    <t>https://www.bestbuy.com/site/samsung-4-0-cu-ft-stackable-electric-dryer-with-ventless-heat-pump-white/6301623.p?skuId=6301623</t>
  </si>
  <si>
    <t>Clothes dryer - Heatpump Combined (dryers and washers)</t>
  </si>
  <si>
    <t>https://www.bestbuy.com/site/ge-profile-4-8-cu-ft-ultrafast-combo-washer-electric-dryer-with-ventless-heat-pump-technology-carbon-graphite/6530134.p?skuId=6530134</t>
  </si>
  <si>
    <t>https://www.bestbuy.com/site/lg-5-0-cu-ft-extra-large-capacity-washcombo-all-in-one-electric-washer-dryer-with-steam-and-ventless-heat-pump-technology-black-steel/6568166.p?skuId=6568166</t>
  </si>
  <si>
    <t>https://www.bestbuy.com/site/lg-5-0-cu-ft-he-smart-mega-capacity-all-in-one-electric-washer-dryer-washcombo-with-steam-and-ventless-inverter-heat-pump-graphite-steel/6568165.p?skuId=6568165</t>
  </si>
  <si>
    <t>5.0 (washer) and 7.8 (dryer)</t>
  </si>
  <si>
    <t>120 (washer)
208 (dryer)</t>
  </si>
  <si>
    <t>https://www.bestbuy.com/site/lg-5-0-cu-ft-he-smart-front-load-washer-and-7-8-cu-ft-electric-dryer-washtower-with-steam-and-ventless-heat-pump-tech-white/6573537.p?skuId=6573537</t>
  </si>
  <si>
    <t>Clothes washer - Electric</t>
  </si>
  <si>
    <t>https://www.bestbuy.com/site/insignia-4-1-cu-ft-high-efficiency-top-load-washer-white/5963916.p?skuId=5963916</t>
  </si>
  <si>
    <t>https://www.bestbuy.com/site/samsung-5-0-cu-ft-high-efficiency-top-load-washer-with-active-waterjet-white/6322982.p?skuId=6322982</t>
  </si>
  <si>
    <t>https://www.bestbuy.com/site/samsung-5-5-cu-ft-high-efficiency-smart-top-load-washer-with-super-speed-wash-brushed-black/6547597.p?skuId=6547597</t>
  </si>
  <si>
    <t>https://www.bestbuy.com/site/insignia-3-7-cu-ft-high-efficiency-12-cycle-top-loading-washer-white/6420141.p?skuId=6420141</t>
  </si>
  <si>
    <t>https://www.bestbuy.com/site/lg-2-4-cu-ft-high-efficiency-stackable-smart-front-load-washer-with-steam-and-built-in-intelligence-white/6397864.p?skuId=6397864</t>
  </si>
  <si>
    <t>https://www.bestbuy.com/site/ge-4-5-cu-ft-top-load-washer-with-precise-fill-deep-fill-deep-clean-and-deep-rinse-white-on-white/6325628.p?skuId=6325628</t>
  </si>
  <si>
    <t>https://www.bestbuy.com/site/ge-4-2-cu-ft-top-load-washer-with-precise-fill-deep-rinse-white-on-white/6325629.p?skuId=6325629</t>
  </si>
  <si>
    <t>https://www.bestbuy.com/site/whirlpool-5-2-cu-ft-high-efficiency-smart-top-load-washer-with-2-in-1-removable-agitator-chrome-shadow/6512746.p?skuId=6512746</t>
  </si>
  <si>
    <t>https://www.bestbuy.com/site/speed-queen-tr7-commercial-heavy-duty-top-load-washer/6505833.p?skuId=6505833</t>
  </si>
  <si>
    <t>https://www.bestbuy.com/site/samsung-6-0-cu-ft-high-efficiency-smart-front-load-washer-with-steam-and-flexwash-black/6470425.p?skuId=6470425</t>
  </si>
  <si>
    <t>https://www.bestbuy.com/site/samsung-2-5-cu-ft-high-efficiency-stackable-smart-front-load-washer-with-steam-and-ai-smart-dial-white/6507607.p?skuId=6507607</t>
  </si>
  <si>
    <t>https://www.bestbuy.com/site/lg-signature-5-8-cu-ft-high-efficiency-smart-front-load-washer-with-steam-and-turbowash-technology-premium-black-stainless-steel/5329909.p?skuId=5329909</t>
  </si>
  <si>
    <t>https://www.bestbuy.com/site/insignia-2-7-cu-ft-high-efficiency-stackable-front-load-washer-with-energy-star-certification-white/6400707.p?skuId=6400707</t>
  </si>
  <si>
    <t>Range - Combined Cooktop and Oven - Electric</t>
  </si>
  <si>
    <t>https://www.bestbuy.com/site/samsung-6-3-cu-ft-freestanding-electric-range-with-wifi-no-preheat-air-fry-convection-stainless-steel/6447922.p?skuId=6447922</t>
  </si>
  <si>
    <t>https://www.bestbuy.com/site/whirlpool-5-3-cu-ft-freestanding-electric-range-with-steam-cleaning-and-frozen-bake-stainless-steel/6364413.p?skuId=6364413</t>
  </si>
  <si>
    <t>https://www.bestbuy.com/site/amana-4-8-cu-ft-freestanding-electric-range-stainless-steel/6514410.p?skuId=6514410</t>
  </si>
  <si>
    <t>https://www.bestbuy.com/site/insignia-5-cu-ft-freestanding-electric-range-stainless-steel/6555625.p?skuId=6555625</t>
  </si>
  <si>
    <t>https://www.bestbuy.com/site/ge-5-3-cu-ft-slide-in-electric-convection-range-with-self-steam-cleaning-built-in-wi-fi-and-no-preheat-air-fry-stainless-steel/6436840.p?skuId=6436840</t>
  </si>
  <si>
    <t>6.6 (double oven)</t>
  </si>
  <si>
    <t>https://www.bestbuy.com/site/ge-6-6-cu-ft-freestanding-double-oven-electric-convection-range-with-self-steam-cleaning-and-no-preheat-air-fry-stainless-steel/6403844.p?skuId=6403844</t>
  </si>
  <si>
    <t>6.7 (double oven)</t>
  </si>
  <si>
    <t>https://www.bestbuy.com/site/whirlpool-6-7-cu-ft-self-cleaning-freestanding-double-oven-electric-convection-range-stainless-steel/5204200.p?skuId=5204200</t>
  </si>
  <si>
    <t>7.3 (double oven)</t>
  </si>
  <si>
    <t>https://www.bestbuy.com/site/lg-7-3-cu-ft-smart-slide-in-double-oven-electric-true-convection-range-with-easyclean-and-instaview-stainless-steel/6511362.p?skuId=6511362</t>
  </si>
  <si>
    <t>https://www.bestbuy.com/site/amana-4-8-cu-ft-freestanding-electric-range-black/5509300.p?skuId=5509300</t>
  </si>
  <si>
    <t>Range - Combined Cooktop and Oven - Gas</t>
  </si>
  <si>
    <t>15/20</t>
  </si>
  <si>
    <t>https://www.bestbuy.com/site/samsung-6-0-cu-ft-front-control-slide-in-gas-convection-range-with-air-fry-wi-fi-fingerprint-resistant-stainless-steel/6411913.p?skuId=6411913</t>
  </si>
  <si>
    <t>https://www.bestbuy.com/site/ge-5-0-cu-ft-freestanding-gas-range-stainless-steel/6488940.p?skuId=6488940</t>
  </si>
  <si>
    <t>https://www.bestbuy.com/site/kitchenaid-5-8-cu-ft-self-cleaning-slide-in-gas-convection-range-stainless-steel/5489036.p?skuId=5489036</t>
  </si>
  <si>
    <t>https://www.bestbuy.com/site/frigidaire-30-front-control-gas-range-stainless-steel/6519350.p?skuId=6519350</t>
  </si>
  <si>
    <t>https://www.bestbuy.com/site/ge-4-8-cu-ft-freestanding-gas-range-white/6488884.p?skuId=6488884</t>
  </si>
  <si>
    <t>6.8 (double oven)</t>
  </si>
  <si>
    <t>https://www.bestbuy.com/site/ge-6-8-cu-ft-freestanding-double-oven-gas-convection-range-with-self-steam-cleaning-and-no-preheat-air-fry-stainless-steel/6488962.p?skuId=6488962</t>
  </si>
  <si>
    <t>6.9 (double oven)</t>
  </si>
  <si>
    <t>https://www.bestbuy.com/site/lg-6-9-cu-ft-freestanding-double-oven-gas-true-convection-range-with-easyclean-and-untraheat-power-burner-stainless-steel/4299700.p?skuId=4299700</t>
  </si>
  <si>
    <t>Oven (Single) - Gas</t>
  </si>
  <si>
    <t>https://www.bestbuy.com/site/frigidaire-gallery-24-inch-single-gas-wall-oven-with-air-fry-white/6530966.p?skuId=6530966</t>
  </si>
  <si>
    <t>Oven (Single) - Electric</t>
  </si>
  <si>
    <t>2850, 4000</t>
  </si>
  <si>
    <t>https://www.bestbuy.com/site/ge-30-built-in-single-electric-wall-oven-stainless-steel/6335108.p?skuId=6335108</t>
  </si>
  <si>
    <t>https://www.bestbuy.com/site/viking-single-convection-speed-oven-stainless-steel/6448315.p?skuId=6448315</t>
  </si>
  <si>
    <t>2600, 3400</t>
  </si>
  <si>
    <t>https://www.bestbuy.com/site/ge-27-built-in-single-electric-wall-oven-stainless-steel/6337326.p?skuId=6337326</t>
  </si>
  <si>
    <t>https://www.bestbuy.com/site/frigidaire-30-built-in-single-electric-wall-oven-with-fan-convection-black/6495856.p?skuId=6495856</t>
  </si>
  <si>
    <t>2000, 3400</t>
  </si>
  <si>
    <t>https://www.bestbuy.com/site/ge-24-built-in-single-electric-wall-oven-stainless-steel/7558895.p?skuId=7558895</t>
  </si>
  <si>
    <t>https://www.bestbuy.com/site/cafe-27-built-in-single-electric-convection-wall-oven-customizable-stainless-steel/6337352.p?skuId=6337352</t>
  </si>
  <si>
    <t>https://www.bestbuy.com/site/jennair-30-built-in-single-electric-wall-oven-stainless-steel/6499854.p?skuId=6499854</t>
  </si>
  <si>
    <t>https://www.bestbuy.com/site/whirlpool-30-built-in-single-electric-wall-oven-with-adjustable-self-clean-cycle-stainless-steel/6530109.p?skuId=6530109</t>
  </si>
  <si>
    <t>https://www.bestbuy.com/site/lg-30-smart-built-in-single-electric-convection-wall-oven-with-air-fry-stainless-steel/6534249.p?skuId=6534249</t>
  </si>
  <si>
    <t>Oven (Double) - Electric</t>
  </si>
  <si>
    <t>https://www.bestbuy.com/site/frigidaire-30-double-electric-wall-oven-with-fan-convection-stainless-steel/6495855.p?skuId=6495855</t>
  </si>
  <si>
    <t>https://www.bestbuy.com/site/lg-30-smart-built-in-electric-convection-double-wall-oven-with-air-fry-stainless-steel/6534257.p?skuId=6534257</t>
  </si>
  <si>
    <t>https://www.bestbuy.com/site/ge-27-built-in-double-electric-convection-wall-oven-stainless-steel/6337356.p?skuId=6337356</t>
  </si>
  <si>
    <t>https://www.bestbuy.com/site/whirlpool-30-smart-built-in-electric-convection-double-wall-oven-with-air-fry-stainless-steel/6530110.p?skuId=6530110</t>
  </si>
  <si>
    <t>2850, 4300</t>
  </si>
  <si>
    <t>https://www.bestbuy.com/site/zline-30-professional-double-wall-oven-with-self-clean-and-true-convection-stainless-steel/6452931.p?skuId=6452931</t>
  </si>
  <si>
    <t>https://www.bestbuy.com/site/monogram-statement-collection-30-built-in-double-electric-convection-wall-oven-stainless-steel/6408316.p?skuId=6408316</t>
  </si>
  <si>
    <t>https://www.bestbuy.com/site/bertazzoni-30-built-in-double-electric-convection-wall-oven-self-clean-stainless-steel/6436750.p?skuId=6436750</t>
  </si>
  <si>
    <t>3000, 4400</t>
  </si>
  <si>
    <t>https://www.bestbuy.com/site/dacor-contemporary-30-built-in-double-electric-convection-wall-oven-with-steam-assist-stainless-steel/5869508.p?skuId=5869508</t>
  </si>
  <si>
    <t>1500, 4400</t>
  </si>
  <si>
    <t>https://www.bestbuy.com/site/fisher-paykel-professional-29-8-built-in-double-electric-convection-wall-oven-stainless-steel/6266027.p?skuId=6266027</t>
  </si>
  <si>
    <t>https://www.bestbuy.com/site/cafe-27-built-in-double-electric-convection-wall-oven-customizable-stainless-steel/6337334.p?skuId=6337334</t>
  </si>
  <si>
    <t>Cooktop - Gas</t>
  </si>
  <si>
    <t>Size (inch)</t>
  </si>
  <si>
    <t>BTU</t>
  </si>
  <si>
    <t>https://www.bestbuy.com/site/kitchenaid-30-built-in-gas-cooktop-stainless-steel/8636643.p?skuId=8636643</t>
  </si>
  <si>
    <t>https://www.bestbuy.com/site/bosch-800-series-36-built-in-gas-cooktop-with-5-burners-and-optisim-stainless-steel/6208211.p?skuId=6208211</t>
  </si>
  <si>
    <t>https://www.bestbuy.com/site/ge-30-gas-cooktop-stainless-steel/5958618.p?skuId=5958618</t>
  </si>
  <si>
    <t>https://www.bestbuy.com/site/samsung-36-built-in-gas-cooktop-with-5-burners-stainless-steel/6372676.p?skuId=6372676</t>
  </si>
  <si>
    <t>https://www.bestbuy.com/site/lg-36-built-in-gas-cooktop-with-5-burners-and-easyclean-black-stainless-steel/6534255.p?skuId=6534255</t>
  </si>
  <si>
    <t>https://www.bestbuy.com/site/amana-30-built-in-gas-cooktop-stainless-steel/5817902.p?skuId=5817902</t>
  </si>
  <si>
    <t>https://www.bestbuy.com/site/samsung-36-built-in-gas-cooktop-with-wifi-and-dual-power-brass-burner-black-stainless-steel/6261807.p?skuId=6261807</t>
  </si>
  <si>
    <t>https://www.bestbuy.com/site/jennair-30-built-in-gas-cooktop-black/5805508.p?skuId=5805508</t>
  </si>
  <si>
    <t>Cooktop - Electric</t>
  </si>
  <si>
    <t>https://www.bestbuy.com/site/samsung-30-built-in-electric-cooktop-black/6372672.p?skuId=6372672</t>
  </si>
  <si>
    <t>https://www.bestbuy.com/site/whirlpool-30-electric-cooktop-black/6229628.p?skuId=6229628</t>
  </si>
  <si>
    <t>https://www.bestbuy.com/site/frigidaire-gallery-30-inch-built-in-electric-cooktop-stainless-steel/6530956.p?skuId=6530956</t>
  </si>
  <si>
    <t>https://www.bestbuy.com/site/lg-studio-30-built-in-electric-cooktop-with-5-elements-and-warming-zone-stainless-steel/4373901.p?skuId=4373901</t>
  </si>
  <si>
    <t>https://www.bestbuy.com/site/ge-30-built-in-electric-cooktop-black/6570100.p?skuId=6570100</t>
  </si>
  <si>
    <t>Water Heater - Electric Resistance (Tank)</t>
  </si>
  <si>
    <t>Size (gal)</t>
  </si>
  <si>
    <t>40 (medium)</t>
  </si>
  <si>
    <t>https://www.homedepot.com/p/Rheem-Performance-40-Gal-4500-Watt-Elements-Medium-Electric-Water-Heater-with-6-Year-Tank-Warranty-and-240-Volt-XE40M06ST45U1/326434008</t>
  </si>
  <si>
    <t>50 (medium)</t>
  </si>
  <si>
    <t>https://www.homedepot.com/p/Rheem-Performance-50-Gal-4500-Watt-Elements-Medium-Electric-Water-Heater-with-6-Year-Tank-Warranty-and-240-Volt-XE50M06ST45U1/326434092</t>
  </si>
  <si>
    <t>38 (short)</t>
  </si>
  <si>
    <t>https://www.homedepot.com/p/Rheem-Performance-38-Gal-4500-Watt-Elements-Short-Electric-Water-Heater-with-6-Year-Tank-Warranty-and-240-Volt-XE38S06ST45U1/326590457</t>
  </si>
  <si>
    <t>30 (short)</t>
  </si>
  <si>
    <t>https://www.homedepot.com/p/Rheem-Performance-30-Gal-4500-Watt-Elements-Short-Electric-Water-Heater-with-6-Year-Tank-Warranty-and-240-Volt-XE30S06ST45U1/326590405</t>
  </si>
  <si>
    <t>20 (compact)</t>
  </si>
  <si>
    <t>https://www.homedepot.com/p/Rheem-Performance-20-Gal-Compact-2000-Watt-Single-Element-Point-Of-Use-Electric-Water-Heater-with-6-Year-Tank-Warranty-XE20P06PU20U0/326587278</t>
  </si>
  <si>
    <t>https://www.homedepot.com/p/Rheem-Gladiator-50-Gal-Medium-12-Year-5500W-Electric-Tank-Water-Heater-with-Leak-Detection-Auto-Shutoff-WA-OR-Version-XE50M12CG55U0/318578151</t>
  </si>
  <si>
    <t>https://www.homedepot.com/p/Rheem-Performance-Plus-40-Gal-5500-Watt-Elements-Medium-Electric-Water-Heater-w-9-Year-Tank-Warranty-LED-Indicator-240-Volt-XE40M09EL55U1/326433999</t>
  </si>
  <si>
    <t>10 (compact)</t>
  </si>
  <si>
    <t>https://www.homedepot.com/p/Rheem-Performance-10-Gal-Compact-2000-Watt-Single-Element-Point-Of-Use-Electric-Water-Heater-with-6-Year-Warranty-XE10P06PU20U0/326586176</t>
  </si>
  <si>
    <t>55 (tall)</t>
  </si>
  <si>
    <t>https://www.homedepot.com/p/Rheem-Gladiator-55-gal-Tall-12-Year-5500-5500-Watt-Smart-Electric-Water-Heater-with-Leak-Detection-and-Auto-Shutoff-XE55T12CS55U0/309627191</t>
  </si>
  <si>
    <t>6 (compact)</t>
  </si>
  <si>
    <t>https://www.homedepot.com/p/Rheem-Performance-6-Gal-Compact-2000-Watt-Element-Point-Of-Use-Electric-Water-Heater-with-6-Year-Tank-Warranty-and-120-Volt-XE06P06PU20U0/326404962</t>
  </si>
  <si>
    <t>80 (tall)</t>
  </si>
  <si>
    <t>https://www.homedepot.com/p/Richmond-80-Gal-Solar-6-Year-4500-Watt-Universal-Connect-with-Element-Electric-Water-Heater-S80U-1/202959691</t>
  </si>
  <si>
    <t>Water Heater - Electric (Tankless)</t>
  </si>
  <si>
    <t>Size</t>
  </si>
  <si>
    <t>3.51 gpm</t>
  </si>
  <si>
    <t>https://www.homedepot.com/p/Rheem-Performance-18-kW-Self-Modulating-3-51-GPM-Tankless-Electric-Water-Heater-RETEX-18/300800620</t>
  </si>
  <si>
    <t>7.03 gpm</t>
  </si>
  <si>
    <t>https://www.homedepot.com/p/Rheem-Performance-36-kw-Self-Modulating-7-03-GPM-Tankless-Electric-Water-Heater-RETEX-36/300800822</t>
  </si>
  <si>
    <t>2.54 gpm</t>
  </si>
  <si>
    <t>https://www.homedepot.com/p/Rheem-Performance-13-kW-Self-Modulating-2-54-GPM-Tankless-Electric-Water-Heater-RETEX-13/300800566</t>
  </si>
  <si>
    <t>4.68 gpm</t>
  </si>
  <si>
    <t>https://www.homedepot.com/p/Stiebel-Eltron-Tempra-24-Plus-Adv-Flow-Control-and-Self-Modulating-24-kW-4-68-GPM-Residential-Electric-Tankless-Water-Heater-Tempra-24-Plus/306745520</t>
  </si>
  <si>
    <t>5.27 gpm</t>
  </si>
  <si>
    <t>https://www.homedepot.com/p/Rheem-Performance-27-kw-Self-Modulating-5-27-GPM-Tankless-Electric-Water-Heater-RETEX-27/300800755</t>
  </si>
  <si>
    <t>https://www.homedepot.com/p/Stiebel-Eltron-Tempra-36-Plus-Advanced-Flow-Control-Self-Modulating-36-kW-7-03-GPM-Compact-Residential-Electric-Tankless-Water-Heater-Tempra-36-Plus/306745514</t>
  </si>
  <si>
    <t>2.15 gpm</t>
  </si>
  <si>
    <t>https://www.homedepot.com/p/Rheem-Performance-11-kW-Self-Modulating-2-15-GPM-Tankless-Electric-Water-Heater-RETEX-11/300800530</t>
  </si>
  <si>
    <t>3.9 gpm</t>
  </si>
  <si>
    <t>https://www.homedepot.com/p/Stiebel-Eltron-Tempra-20-Plus-Advanced-Flow-Control-Self-Modulating-20-kW-3-90-GPM-Compact-Residential-Electric-Tankless-Water-Heater-Tempra-20-Plus/306745513</t>
  </si>
  <si>
    <t>1.56 gpm</t>
  </si>
  <si>
    <t>https://www.homedepot.com/p/EcoSmart-ECO-8-Tankless-Electric-Water-Heater-8-kW-240-V-ECO-8/203316214</t>
  </si>
  <si>
    <t>4 gal</t>
  </si>
  <si>
    <t>These are small tank for under-sink applications.</t>
  </si>
  <si>
    <t>https://www.homedepot.com/p/Rheem-MiniTank-120-Volt-4-Gal-Compact-Point-of-Use-Electric-Water-Heater-XE04MT06U0/315674556</t>
  </si>
  <si>
    <t>7 gal</t>
  </si>
  <si>
    <t>https://www.homedepot.com/p/Bosch-7-Gal-Electric-Point-of-Use-Water-Heater-ES-8/206428468</t>
  </si>
  <si>
    <t>1.5 gal</t>
  </si>
  <si>
    <t>https://www.homedepot.com/p/Rheem-MiniTank-120-Volt-1-5-Gal-Compact-Point-of-Use-Electric-Water-Heater-XE01MT06U0/315674554</t>
  </si>
  <si>
    <t>2.5 gal</t>
  </si>
  <si>
    <t>https://www.homedepot.com/p/Bosch-2-5-Gal-Electric-Point-of-Use-Water-Heater-3-Pack-8733954923/313409702</t>
  </si>
  <si>
    <t>Water Heater - Gas (Tank)</t>
  </si>
  <si>
    <t>https://www.homedepot.com/p/Rheem-Performance-30-gal-Short-6-Year-30-000-BTU-Natural-Gas-Tank-Water-Heater-XG30S06EC30U1/326590325</t>
  </si>
  <si>
    <t>https://www.homedepot.com/p/Rheem-Performance-Platinum-55-Gal-Tall-12-Year-50-000-BTU-Natural-Gas-Tank-Water-Heater-XG55T12EC50U0/205811176</t>
  </si>
  <si>
    <t>40 (tall)</t>
  </si>
  <si>
    <t>https://www.homedepot.com/p/Rheem-Performance-40-Gal-Tall-6-Year-36-000-BTU-Natural-Gas-Tank-Water-Heater-XG40T06EC36U1/326590302</t>
  </si>
  <si>
    <t>50 (tall)</t>
  </si>
  <si>
    <t>https://www.homedepot.com/p/Rheem-Performance-50-Gal-Tall-6-Year-38-000-BTU-Natural-Gas-Tank-Water-Heater-XG50T06EC38U1/326590285</t>
  </si>
  <si>
    <t>https://www.homedepot.com/p/Rheem-Performance-Platinum-50-Gal-Tall-12-Year-40-000-BTU-High-Efficiency-Natural-Gas-Tank-Water-Heater-XG50T12HE40U0/204697785</t>
  </si>
  <si>
    <t>29 (tall)</t>
  </si>
  <si>
    <t>https://www.homedepot.com/p/Rheem-Performance-29-Gal-Tall-6-Year-32-000-BTU-Natural-Gas-Tank-Water-Heater-XG29T06EC32U1/326590316</t>
  </si>
  <si>
    <t>75 (tall)</t>
  </si>
  <si>
    <t>https://www.homedepot.com/p/Rheem-Performance-75-Gal-Tall-6-Year-76-000-BTU-Natural-Gas-Tank-Water-Heater-XG75T06ST76U0/326590339</t>
  </si>
  <si>
    <t>https://www.homedepot.com/p/Rheem-Performance-29-Gal-Tall-6-Year-30-000-BTU-Ultra-Low-NOx-ULN-Natural-Gas-Tank-Water-Heater-XG29T06EN30U1/326433732</t>
  </si>
  <si>
    <t>https://www.homedepot.com/p/Sure-Comfort-40-Gal-Tall-3-Year-34-000-BTU-Natural-Gas-Tank-Water-Heater-SCG40T03ST34U1/205811182</t>
  </si>
  <si>
    <t>Water Heater - Gas (Tankless)</t>
  </si>
  <si>
    <t>5.3 gpm</t>
  </si>
  <si>
    <t>https://www.homedepot.com/p/Rinnai-High-Efficiency-Non-Condensing-5-3-GPM-Residential-140-000-BTU-Interior-Natural-Gas-Tankless-Water-Heater-RE140iN/322407652</t>
  </si>
  <si>
    <t>5.6 gpm</t>
  </si>
  <si>
    <t>https://www.homedepot.com/p/Rinnai-Value-Series-Outdoor-5-6-GPM-Residential-120-000-BTU-Propane-Gas-Tankless-Water-Heater-V53DeP/307268986</t>
  </si>
  <si>
    <t>4.0 gpm</t>
  </si>
  <si>
    <t>https://www.homedepot.com/p/Eccotemp-i12-4-0-GPM-WholeHome-Residential-80-000-BTU-Natural-Gas-Indoor-Tankless-Water-Heater-i12-NG/206262342</t>
  </si>
  <si>
    <t>1.58 gpm</t>
  </si>
  <si>
    <t>No Voltage</t>
  </si>
  <si>
    <t>https://www.homedepot.com/p/MAREY-Flow-1-58-GPM-42-000-BTU-s-Liquid-Propane-Gas-Flow-Activated-Gas-Tankless-Water-Heater-G6FLP/324152899</t>
  </si>
  <si>
    <t>6.0 gpm</t>
  </si>
  <si>
    <t>https://www.homedepot.com/p/Eccotemp-Builder-Grade-6-0-GPM-Indoor-Liquid-Propane-Gas-Tankless-Water-Heater-6GB-ILP/323320916</t>
  </si>
  <si>
    <t>3.0 gpm</t>
  </si>
  <si>
    <t>https://www.homedepot.com/p/Eccotemp-L10-3-0-GPM-Portable-75-000-BTU-Liquid-Propane-Outdoor-Tankless-Water-Heater-L10/205583899</t>
  </si>
  <si>
    <t>2.9 gpm</t>
  </si>
  <si>
    <t>https://www.homedepot.com/p/FOGATTI-InstaShower-8-Plus-FS08B1SWD-2-9-GPM-55-000-BTU-RV-Tankless-Water-Heater-Gen-2-with-White-Door-and-Remote-Controller-FS08B1SWD/328185612</t>
  </si>
  <si>
    <t>4.3 gpm</t>
  </si>
  <si>
    <t>https://www.homedepot.com/p/MIZUDO-Comfortech-Classic-CS100W-4-3-GPM-100-000-BTU-Residential-Natural-Gas-Tankless-Water-Heater-Indoor-White-FDG-CS100W-NG/327895663</t>
  </si>
  <si>
    <t>4.4 gpm</t>
  </si>
  <si>
    <t>https://www.homedepot.com/p/EZ-Tankless-Ultra-HE-on-Demand-4-4-GPM-70-000-BTU-Natural-Gas-Condensing-Tankless-Water-Heater-EZULTNG/303652038</t>
  </si>
  <si>
    <t>2.64 gpm</t>
  </si>
  <si>
    <t>https://www.homedepot.com/p/MAREY-2-64-GPM-68-240-BTU-s-LP-Gas-Flow-Activated-Gas-Tankless-Water-Heater-10FLP/315423308</t>
  </si>
  <si>
    <t>4.2 gpm</t>
  </si>
  <si>
    <t>https://www.homedepot.com/p/MAREY-4-2-GPM-100-000-BTUs-Whole-House-solution-Digital-Display-Outdoor-Propane-Gas-Tankless-Water-Heater-GA16OLPDP/318389062</t>
  </si>
  <si>
    <t>need up to about 6gpm models and no higher</t>
  </si>
  <si>
    <t>Electric Vehicle (EV) Charger</t>
  </si>
  <si>
    <t>Size (level)</t>
  </si>
  <si>
    <t>Length (ft)</t>
  </si>
  <si>
    <t>Level 2</t>
  </si>
  <si>
    <t>https://www.homedepot.com/p/ChargePoint-240-Volt-Smart-Flex-Hardwire-Charge-Station-for-20-Amp-to-80-Amp-Circuit-Breakers-99-003890-11/326895987</t>
  </si>
  <si>
    <t>https://www.homedepot.com/p/DEWALT-25-ft-cord-48-Amp-240-Volt-AC-11-5-Kw-Weatherproof-Level-2-Heavy-Duty-Smart-Electric-Vehicle-Charging-Station-DXPAEV048/326991338</t>
  </si>
  <si>
    <t>https://www.homedepot.com/p/JuiceBox-48A-Hardwired-25-cable-with-cord-management-with-locking-plate-hardwired-2JBO481RNA-HKWX-300/325827909</t>
  </si>
  <si>
    <t>https://www.homedepot.com/p/JuiceBox-40A-Plug-In-14-50-25-cable-with-cord-management-with-locking-plate-14-50-plugin-2JBO401RNA-PJWX-300/325827991</t>
  </si>
  <si>
    <t>https://www.homedepot.com/p/LECTRON-240-Volt-40-Amp-Level-2-EV-Charger-with-18-ft-Extension-Cord-J1772-Cable-NEMA-14-50-Plug-Electric-Vehicle-Charger-EVCharge14-50-40A/313326056</t>
  </si>
  <si>
    <t>https://www.homedepot.com/p/LECTRON-V-BOX-EV-Charging-Station-48A-240V-Level-2-Electric-Vehicle-Charger-NEMA-14-50-Plug-ETL-Energy-Star-Certified-EV-Charger48A-J1772/321512413</t>
  </si>
  <si>
    <t>https://www.homedepot.com/p/DEWALT-25-ft-cord-Level-2-40-Amp-240-Volt-AC-9-6-Kw-Weatherproof-Heavy-Duty-Smart-Electric-Vehicle-Charging-Station-DXPAEV040/326991420</t>
  </si>
  <si>
    <t>https://www.homedepot.com/p/DEWALT-25-ft-cord-16-Amp-120-Volt-240-Volt-AC-3-84-Kw-Weatherproof-Level-2-Heavy-Duty-Portable-Electric-Vehicle-Charger-DXPAEV016/326991301</t>
  </si>
  <si>
    <t>https://www.homedepot.com/p/REV-Dual-Port-Level-2-Electric-Vehicle-Smart-Charger-50-Amps-WiFi-Bluetooth-UL-Listed-Mobile-App-Integration-REVPLUS1/324852634</t>
  </si>
  <si>
    <t>https://www.homedepot.com/p/LECTRON-240-Volt-32-Amp-Level-2-EV-Charging-Station-with-20-ft-Extension-Cord-J1772-Cable-and-NEMA-14-50-Plug-Electric-Vehicle-EV-Charger32A-1450N/315911688</t>
  </si>
  <si>
    <t>Heat Pump Water Heater (HPWH)</t>
  </si>
  <si>
    <t>https://www.homedepot.com/p/Rheem-Performance-Platinum-50-Gal-10-Year-Hybrid-High-Efficiency-Tank-Electric-Heat-Pump-Water-Heater-XE50T10H45U0/312742081</t>
  </si>
  <si>
    <t>65 (tall)</t>
  </si>
  <si>
    <t>https://www.homedepot.com/p/Rheem-Performance-Platinum-65-Gal-10-Year-Hybrid-High-Efficiency-Smart-Tank-Electric-Heat-Pump-Water-Heater-XE65T10H45U0/312741511</t>
  </si>
  <si>
    <t>https://www.homedepot.com/p/Rheem-ProTerra-50-Gal-10-Year-Hybrid-High-Efficiency-Smart-Tank-Electric-Water-Heater-with-Leak-Detection-Auto-Shutoff-XE50T10HS45U0/312741462</t>
  </si>
  <si>
    <t>https://www.homedepot.com/p/Rheem-ProTerra-65-Gal-10-Year-Hybrid-High-Efficiency-Smart-Tank-Electric-Water-Heater-with-Leak-Detection-Auto-Shutoff-XE65T10HS45U0/312741454</t>
  </si>
  <si>
    <t>https://www.homedepot.com/p/Rheem-ProTerra-50-Gal-Tall-0-Watt-Element-Residential-Electric-Water-Heater-w-Leak-Detection-Auto-Shutoff-10-Year-Warranty-XE50T10HMS00U0/317100816</t>
  </si>
  <si>
    <t>https://www.homedepot.com/p/Rheem-ProTerra-65-Gal-Tall-0-Watt-Element-Residential-Electric-Water-Heater-w-Leak-Detection-Auto-Shutoff-10-Year-Warranty-XE65T10HMS00U0/317100806</t>
  </si>
  <si>
    <t>https://www.homedepot.com/p/Rheem-Performance-Platinum-ProTerra-50-Gal-Tall-0W-Element-Residential-Electric-Water-Heater-w-Heat-Pump-10-Year-Warranty-XE50T10HM00U0/317100789</t>
  </si>
  <si>
    <t>https://www.homedepot.com/p/Rheem-Performance-Platinum-ProTerra-65-Gal-Tall-0W-Element-Residential-Electric-Water-Heater-w-Heat-Pump-and-10-Year-Warranty-XE65T10HM00U0/317100785</t>
  </si>
  <si>
    <t>https://www.homedepot.com/p/Rheem-ProTerra-40-Gal-10-Year-Hybrid-High-Efficiency-Smart-Tank-Electric-Water-Heater-with-Leak-Detection-Auto-Shutoff-XE40T10HS45U0/312741469</t>
  </si>
  <si>
    <t>https://www.homedepot.com/p/Rheem-Performance-Platinum-80-Gal-10-Year-Hybrid-High-Efficiency-Tank-Electric-Heat-Pump-Water-Heater-XE80T10H45U0/312741506</t>
  </si>
  <si>
    <t>Revision History</t>
  </si>
  <si>
    <t>Date</t>
  </si>
  <si>
    <t>Worksheet</t>
  </si>
  <si>
    <t>Author</t>
  </si>
  <si>
    <t>Updated all Panel Calculations for Ventilation and Space Cooling to include "IF" clause and capture instances of no ventilation and no space cooling in existing systems and electrification upgrades</t>
  </si>
  <si>
    <t>All 'Panel Load' Calculation worksheet</t>
  </si>
  <si>
    <t>Aaron Kwon</t>
  </si>
  <si>
    <t>This calculation uses a 40% CF &amp; 125% increase for large continuous loads per NEC 625.14</t>
  </si>
  <si>
    <t>Charger removed to simulate dynamic charging</t>
  </si>
  <si>
    <t>MJM</t>
  </si>
  <si>
    <t>Multiple</t>
  </si>
  <si>
    <t>Correct coding glitches and update for final release on CalNEXT 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</si>
</sst>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0.0"/>
    <numFmt numFmtId="165" formatCode="0.0\ \t\o\n"/>
    <numFmt numFmtId="166" formatCode="0\ \w\a\t\t\s"/>
    <numFmt numFmtId="167" formatCode="_(* #,##0_);_(* \(#,##0\);_(* &quot;-&quot;??_);_(@_)"/>
    <numFmt numFmtId="168" formatCode="_(* #,##0.0_);_(* \(#,##0.0\);_(* &quot;-&quot;??_);_(@_)"/>
    <numFmt numFmtId="169" formatCode="0.0\ &quot;Amps&quot;"/>
    <numFmt numFmtId="170" formatCode="0.0%"/>
  </numFmts>
  <fonts count="39" x14ac:knownFonts="1">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i/>
      <sz val="11"/>
      <color rgb="FFFF0000"/>
      <name val="Calibri"/>
      <family val="2"/>
      <scheme val="minor"/>
    </font>
    <font>
      <sz val="9"/>
      <name val="Helv"/>
    </font>
    <font>
      <b/>
      <sz val="11"/>
      <color rgb="FFFF0000"/>
      <name val="Calibri"/>
      <family val="2"/>
      <scheme val="minor"/>
    </font>
    <font>
      <b/>
      <i/>
      <sz val="11"/>
      <color rgb="FFFF0000"/>
      <name val="Calibri"/>
      <family val="2"/>
      <scheme val="minor"/>
    </font>
    <font>
      <b/>
      <sz val="11"/>
      <color rgb="FF00B050"/>
      <name val="Calibri"/>
      <family val="2"/>
      <scheme val="minor"/>
    </font>
    <font>
      <i/>
      <sz val="11"/>
      <color theme="0" tint="-0.499984740745262"/>
      <name val="Calibri"/>
      <family val="2"/>
      <scheme val="minor"/>
    </font>
    <font>
      <sz val="11"/>
      <color theme="0" tint="-0.499984740745262"/>
      <name val="Calibri"/>
      <family val="2"/>
      <scheme val="minor"/>
    </font>
    <font>
      <sz val="20"/>
      <color theme="1"/>
      <name val="Calibri"/>
      <family val="2"/>
      <scheme val="minor"/>
    </font>
    <font>
      <b/>
      <sz val="16"/>
      <color theme="1"/>
      <name val="Calibri"/>
      <family val="2"/>
      <scheme val="minor"/>
    </font>
    <font>
      <sz val="16"/>
      <color theme="1"/>
      <name val="Calibri"/>
      <family val="2"/>
      <scheme val="minor"/>
    </font>
    <font>
      <b/>
      <i/>
      <sz val="11"/>
      <color rgb="FF00B050"/>
      <name val="Calibri"/>
      <family val="2"/>
      <scheme val="minor"/>
    </font>
    <font>
      <sz val="11"/>
      <color rgb="FF00B050"/>
      <name val="Calibri"/>
      <family val="2"/>
      <scheme val="minor"/>
    </font>
    <font>
      <sz val="24"/>
      <color theme="1"/>
      <name val="Calibri"/>
      <family val="2"/>
      <scheme val="minor"/>
    </font>
    <font>
      <sz val="11"/>
      <name val="Calibri"/>
      <family val="2"/>
      <scheme val="minor"/>
    </font>
    <font>
      <b/>
      <sz val="14"/>
      <color theme="1"/>
      <name val="Calibri"/>
      <family val="2"/>
      <scheme val="minor"/>
    </font>
    <font>
      <sz val="14"/>
      <color theme="1"/>
      <name val="Calibri"/>
      <family val="2"/>
      <scheme val="minor"/>
    </font>
    <font>
      <sz val="11"/>
      <color theme="1"/>
      <name val="Calibri"/>
      <family val="2"/>
      <scheme val="minor"/>
    </font>
    <font>
      <u/>
      <sz val="11"/>
      <color theme="10"/>
      <name val="Calibri"/>
      <family val="2"/>
      <scheme val="minor"/>
    </font>
    <font>
      <i/>
      <u/>
      <sz val="11"/>
      <color rgb="FFFF0000"/>
      <name val="Calibri"/>
      <family val="2"/>
      <scheme val="minor"/>
    </font>
    <font>
      <sz val="20"/>
      <color rgb="FFFF0000"/>
      <name val="Calibri"/>
      <family val="2"/>
      <scheme val="minor"/>
    </font>
    <font>
      <i/>
      <sz val="11"/>
      <color theme="7" tint="-0.249977111117893"/>
      <name val="Calibri"/>
      <family val="2"/>
      <scheme val="minor"/>
    </font>
    <font>
      <sz val="8"/>
      <color theme="1"/>
      <name val="Calibri"/>
      <family val="2"/>
      <scheme val="minor"/>
    </font>
    <font>
      <b/>
      <sz val="8"/>
      <color theme="1"/>
      <name val="Calibri"/>
      <family val="2"/>
      <scheme val="minor"/>
    </font>
    <font>
      <b/>
      <sz val="20"/>
      <color theme="8" tint="-0.249977111117893"/>
      <name val="Calibri"/>
      <family val="2"/>
      <scheme val="minor"/>
    </font>
    <font>
      <b/>
      <u/>
      <sz val="11"/>
      <color theme="1"/>
      <name val="Calibri"/>
      <family val="2"/>
      <scheme val="minor"/>
    </font>
    <font>
      <sz val="24"/>
      <color theme="1"/>
      <name val="Franklin Gothic Book"/>
      <family val="2"/>
    </font>
    <font>
      <sz val="24"/>
      <color rgb="FF002C2C"/>
      <name val="Franklin Gothic Book"/>
      <family val="2"/>
    </font>
    <font>
      <sz val="16"/>
      <color rgb="FF002C2C"/>
      <name val="Franklin Gothic Book"/>
      <family val="2"/>
    </font>
    <font>
      <b/>
      <sz val="13"/>
      <color rgb="FF005757"/>
      <name val="Franklin Gothic Book"/>
      <family val="2"/>
    </font>
    <font>
      <b/>
      <sz val="16"/>
      <color rgb="FF005757"/>
      <name val="Franklin Gothic Book"/>
      <family val="2"/>
    </font>
    <font>
      <b/>
      <sz val="14"/>
      <color rgb="FF005757"/>
      <name val="Franklin Gothic Book"/>
      <family val="2"/>
    </font>
    <font>
      <b/>
      <sz val="18"/>
      <color rgb="FF0070C0"/>
      <name val="Calibri"/>
      <family val="2"/>
      <scheme val="minor"/>
    </font>
    <font>
      <b/>
      <sz val="14"/>
      <color rgb="FF0070C0"/>
      <name val="Calibri"/>
      <family val="2"/>
      <scheme val="minor"/>
    </font>
    <font>
      <sz val="11"/>
      <color rgb="FF002C2C"/>
      <name val="Franklin Gothic Book"/>
      <family val="2"/>
    </font>
    <font>
      <sz val="16"/>
      <color theme="1"/>
      <name val="Franklin Gothic Book"/>
      <family val="2"/>
    </font>
  </fonts>
  <fills count="10">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E1F0FF"/>
        <bgColor indexed="64"/>
      </patternFill>
    </fill>
    <fill>
      <patternFill patternType="solid">
        <fgColor rgb="FFFFC000"/>
        <bgColor indexed="64"/>
      </patternFill>
    </fill>
    <fill>
      <patternFill patternType="solid">
        <fgColor rgb="FF99CCFF"/>
        <bgColor indexed="64"/>
      </patternFill>
    </fill>
    <fill>
      <patternFill patternType="solid">
        <fgColor theme="2"/>
        <bgColor indexed="64"/>
      </patternFill>
    </fill>
    <fill>
      <patternFill patternType="solid">
        <fgColor theme="5"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s>
  <cellStyleXfs count="5">
    <xf numFmtId="0" fontId="0" fillId="0" borderId="0"/>
    <xf numFmtId="0" fontId="5" fillId="0" borderId="0"/>
    <xf numFmtId="43" fontId="20" fillId="0" borderId="0" applyFont="0" applyFill="0" applyBorder="0" applyAlignment="0" applyProtection="0"/>
    <xf numFmtId="0" fontId="21" fillId="0" borderId="0" applyNumberFormat="0" applyFill="0" applyBorder="0" applyAlignment="0" applyProtection="0"/>
    <xf numFmtId="9" fontId="20" fillId="0" borderId="0" applyFont="0" applyFill="0" applyBorder="0" applyAlignment="0" applyProtection="0"/>
  </cellStyleXfs>
  <cellXfs count="250">
    <xf numFmtId="0" fontId="0" fillId="0" borderId="0" xfId="0"/>
    <xf numFmtId="0" fontId="4" fillId="0" borderId="0" xfId="0" applyFont="1"/>
    <xf numFmtId="0" fontId="1" fillId="0" borderId="0" xfId="0" applyFont="1"/>
    <xf numFmtId="0" fontId="0" fillId="0" borderId="0" xfId="0" applyAlignment="1">
      <alignment horizontal="center"/>
    </xf>
    <xf numFmtId="0" fontId="0" fillId="0" borderId="0" xfId="0" applyAlignment="1">
      <alignment horizontal="center" wrapText="1"/>
    </xf>
    <xf numFmtId="0" fontId="0" fillId="0" borderId="7" xfId="0" applyBorder="1"/>
    <xf numFmtId="0" fontId="2" fillId="0" borderId="0" xfId="0" applyFont="1"/>
    <xf numFmtId="0" fontId="6" fillId="0" borderId="0" xfId="0" applyFont="1"/>
    <xf numFmtId="0" fontId="7" fillId="0" borderId="0" xfId="0" applyFont="1"/>
    <xf numFmtId="0" fontId="0" fillId="0" borderId="0" xfId="0" applyAlignment="1">
      <alignment horizontal="left" indent="2"/>
    </xf>
    <xf numFmtId="0" fontId="0" fillId="0" borderId="0" xfId="0" applyAlignment="1">
      <alignment horizontal="left" indent="3"/>
    </xf>
    <xf numFmtId="0" fontId="0" fillId="0" borderId="0" xfId="0" applyAlignment="1">
      <alignment wrapText="1"/>
    </xf>
    <xf numFmtId="0" fontId="0" fillId="0" borderId="1" xfId="0" applyBorder="1"/>
    <xf numFmtId="0" fontId="0" fillId="3" borderId="1" xfId="0" applyFill="1" applyBorder="1"/>
    <xf numFmtId="0" fontId="0" fillId="4" borderId="1" xfId="0" applyFill="1" applyBorder="1" applyAlignment="1">
      <alignment horizontal="center"/>
    </xf>
    <xf numFmtId="0" fontId="0" fillId="4" borderId="1" xfId="0" applyFill="1" applyBorder="1"/>
    <xf numFmtId="0" fontId="3" fillId="0" borderId="0" xfId="0" applyFont="1" applyAlignment="1">
      <alignment horizontal="center"/>
    </xf>
    <xf numFmtId="0" fontId="0" fillId="2" borderId="1" xfId="0" applyFill="1" applyBorder="1" applyAlignment="1">
      <alignment horizontal="center"/>
    </xf>
    <xf numFmtId="0" fontId="0" fillId="0" borderId="6" xfId="0" applyBorder="1"/>
    <xf numFmtId="0" fontId="0" fillId="0" borderId="0" xfId="0" quotePrefix="1"/>
    <xf numFmtId="0" fontId="0" fillId="0" borderId="0" xfId="0" applyAlignment="1">
      <alignment horizontal="left"/>
    </xf>
    <xf numFmtId="0" fontId="0" fillId="0" borderId="3" xfId="0" applyBorder="1"/>
    <xf numFmtId="0" fontId="0" fillId="0" borderId="4" xfId="0" applyBorder="1"/>
    <xf numFmtId="0" fontId="8" fillId="0" borderId="0" xfId="0" applyFont="1"/>
    <xf numFmtId="0" fontId="0" fillId="0" borderId="7" xfId="0" applyBorder="1" applyAlignment="1">
      <alignment horizontal="center" wrapText="1"/>
    </xf>
    <xf numFmtId="0" fontId="3" fillId="0" borderId="0" xfId="0" applyFont="1" applyAlignment="1">
      <alignment horizontal="left" indent="2"/>
    </xf>
    <xf numFmtId="0" fontId="0" fillId="0" borderId="2" xfId="0" applyBorder="1" applyAlignment="1">
      <alignment horizontal="center"/>
    </xf>
    <xf numFmtId="0" fontId="9" fillId="0" borderId="0" xfId="0" applyFont="1"/>
    <xf numFmtId="0" fontId="10" fillId="0" borderId="0" xfId="0" applyFont="1"/>
    <xf numFmtId="0" fontId="11" fillId="0" borderId="0" xfId="0" applyFont="1"/>
    <xf numFmtId="0" fontId="12" fillId="0" borderId="0" xfId="0" applyFont="1"/>
    <xf numFmtId="0" fontId="4" fillId="0" borderId="0" xfId="0" applyFont="1" applyAlignment="1">
      <alignment horizontal="center"/>
    </xf>
    <xf numFmtId="0" fontId="13" fillId="0" borderId="0" xfId="0" applyFont="1"/>
    <xf numFmtId="0" fontId="2" fillId="0" borderId="7" xfId="0" applyFont="1" applyBorder="1" applyAlignment="1">
      <alignment horizontal="center"/>
    </xf>
    <xf numFmtId="0" fontId="2" fillId="0" borderId="7" xfId="0" applyFont="1" applyBorder="1" applyAlignment="1">
      <alignment horizontal="center" wrapText="1"/>
    </xf>
    <xf numFmtId="0" fontId="2" fillId="0" borderId="0" xfId="0" applyFont="1" applyAlignment="1">
      <alignment horizontal="center" wrapText="1"/>
    </xf>
    <xf numFmtId="0" fontId="0" fillId="0" borderId="0" xfId="0" quotePrefix="1" applyAlignment="1">
      <alignment horizontal="center"/>
    </xf>
    <xf numFmtId="0" fontId="9" fillId="0" borderId="0" xfId="0" applyFont="1" applyAlignment="1">
      <alignment horizontal="center"/>
    </xf>
    <xf numFmtId="0" fontId="14" fillId="0" borderId="0" xfId="0" applyFont="1" applyAlignment="1">
      <alignment horizontal="center"/>
    </xf>
    <xf numFmtId="0" fontId="4" fillId="0" borderId="0" xfId="0" applyFont="1" applyAlignment="1">
      <alignment wrapText="1"/>
    </xf>
    <xf numFmtId="0" fontId="4" fillId="0" borderId="0" xfId="0" applyFont="1" applyAlignment="1">
      <alignment horizontal="center" wrapText="1"/>
    </xf>
    <xf numFmtId="0" fontId="1" fillId="0" borderId="0" xfId="0" quotePrefix="1" applyFont="1" applyAlignment="1">
      <alignment horizontal="center"/>
    </xf>
    <xf numFmtId="0" fontId="0" fillId="4" borderId="1" xfId="0" applyFill="1" applyBorder="1" applyAlignment="1">
      <alignment horizontal="center" wrapText="1"/>
    </xf>
    <xf numFmtId="0" fontId="0" fillId="0" borderId="1" xfId="0" applyBorder="1" applyAlignment="1">
      <alignment horizontal="center" wrapText="1"/>
    </xf>
    <xf numFmtId="0" fontId="0" fillId="0" borderId="1" xfId="0" applyBorder="1" applyAlignment="1">
      <alignment horizontal="center"/>
    </xf>
    <xf numFmtId="0" fontId="16" fillId="0" borderId="0" xfId="0" applyFont="1"/>
    <xf numFmtId="0" fontId="0" fillId="0" borderId="2" xfId="0" applyBorder="1" applyAlignment="1">
      <alignment horizontal="center" wrapText="1"/>
    </xf>
    <xf numFmtId="0" fontId="17" fillId="0" borderId="0" xfId="0" applyFont="1"/>
    <xf numFmtId="0" fontId="3" fillId="4" borderId="1" xfId="0" applyFont="1" applyFill="1" applyBorder="1" applyAlignment="1">
      <alignment horizontal="center"/>
    </xf>
    <xf numFmtId="0" fontId="18" fillId="0" borderId="0" xfId="0" applyFont="1"/>
    <xf numFmtId="0" fontId="18" fillId="4" borderId="1" xfId="0" applyFont="1" applyFill="1" applyBorder="1" applyAlignment="1">
      <alignment horizontal="center"/>
    </xf>
    <xf numFmtId="164" fontId="18" fillId="4" borderId="1" xfId="0" applyNumberFormat="1" applyFont="1" applyFill="1" applyBorder="1" applyAlignment="1">
      <alignment horizontal="center"/>
    </xf>
    <xf numFmtId="0" fontId="19" fillId="0" borderId="0" xfId="0" applyFont="1"/>
    <xf numFmtId="0" fontId="0" fillId="2" borderId="0" xfId="0" applyFill="1"/>
    <xf numFmtId="0" fontId="2" fillId="0" borderId="7" xfId="0" applyFont="1" applyBorder="1"/>
    <xf numFmtId="0" fontId="21" fillId="0" borderId="0" xfId="3"/>
    <xf numFmtId="0" fontId="1" fillId="0" borderId="0" xfId="0" applyFont="1" applyAlignment="1">
      <alignment horizontal="center"/>
    </xf>
    <xf numFmtId="0" fontId="22" fillId="0" borderId="0" xfId="0" applyFont="1"/>
    <xf numFmtId="0" fontId="15" fillId="0" borderId="0" xfId="0" applyFont="1" applyAlignment="1">
      <alignment horizontal="center"/>
    </xf>
    <xf numFmtId="165" fontId="0" fillId="4" borderId="1" xfId="0" applyNumberFormat="1" applyFill="1" applyBorder="1" applyAlignment="1">
      <alignment horizontal="center"/>
    </xf>
    <xf numFmtId="1" fontId="0" fillId="4" borderId="1" xfId="0" applyNumberFormat="1" applyFill="1" applyBorder="1" applyAlignment="1">
      <alignment horizontal="center"/>
    </xf>
    <xf numFmtId="1" fontId="0" fillId="0" borderId="0" xfId="0" applyNumberFormat="1" applyAlignment="1">
      <alignment horizontal="center"/>
    </xf>
    <xf numFmtId="0" fontId="17" fillId="4" borderId="1" xfId="0" applyFont="1" applyFill="1" applyBorder="1" applyAlignment="1">
      <alignment horizontal="center"/>
    </xf>
    <xf numFmtId="1" fontId="17" fillId="4" borderId="1" xfId="0" applyNumberFormat="1" applyFont="1" applyFill="1" applyBorder="1" applyAlignment="1">
      <alignment horizontal="center"/>
    </xf>
    <xf numFmtId="0" fontId="6" fillId="0" borderId="0" xfId="0" applyFont="1" applyAlignment="1">
      <alignment horizontal="center"/>
    </xf>
    <xf numFmtId="0" fontId="17" fillId="0" borderId="0" xfId="0" applyFont="1" applyAlignment="1">
      <alignment horizontal="center"/>
    </xf>
    <xf numFmtId="166" fontId="0" fillId="4" borderId="1" xfId="0" applyNumberFormat="1" applyFill="1" applyBorder="1" applyAlignment="1">
      <alignment horizontal="center"/>
    </xf>
    <xf numFmtId="0" fontId="0" fillId="0" borderId="10" xfId="0"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1" fillId="0" borderId="0" xfId="0" applyFont="1" applyAlignment="1">
      <alignment horizontal="left"/>
    </xf>
    <xf numFmtId="167" fontId="18" fillId="4" borderId="1" xfId="2" applyNumberFormat="1" applyFont="1" applyFill="1" applyBorder="1" applyAlignment="1">
      <alignment horizontal="center"/>
    </xf>
    <xf numFmtId="167" fontId="0" fillId="4" borderId="5" xfId="2" applyNumberFormat="1" applyFont="1" applyFill="1" applyBorder="1" applyAlignment="1">
      <alignment horizontal="center"/>
    </xf>
    <xf numFmtId="167" fontId="0" fillId="4" borderId="1" xfId="2" applyNumberFormat="1" applyFont="1" applyFill="1" applyBorder="1" applyAlignment="1">
      <alignment horizontal="center"/>
    </xf>
    <xf numFmtId="167" fontId="0" fillId="0" borderId="0" xfId="2" applyNumberFormat="1" applyFont="1" applyAlignment="1">
      <alignment horizontal="center"/>
    </xf>
    <xf numFmtId="167" fontId="0" fillId="0" borderId="2" xfId="2" applyNumberFormat="1" applyFont="1" applyBorder="1" applyAlignment="1">
      <alignment horizontal="center"/>
    </xf>
    <xf numFmtId="165" fontId="0" fillId="0" borderId="2" xfId="0" applyNumberFormat="1" applyBorder="1" applyAlignment="1">
      <alignment horizontal="center"/>
    </xf>
    <xf numFmtId="0" fontId="17" fillId="0" borderId="2" xfId="0" applyFont="1" applyBorder="1" applyAlignment="1">
      <alignment horizontal="center"/>
    </xf>
    <xf numFmtId="1" fontId="17" fillId="0" borderId="2" xfId="0" applyNumberFormat="1" applyFont="1" applyBorder="1" applyAlignment="1">
      <alignment horizontal="center"/>
    </xf>
    <xf numFmtId="1" fontId="0" fillId="0" borderId="2" xfId="0" applyNumberFormat="1" applyBorder="1" applyAlignment="1">
      <alignment horizontal="center"/>
    </xf>
    <xf numFmtId="1" fontId="17" fillId="0" borderId="0" xfId="0" applyNumberFormat="1" applyFont="1" applyAlignment="1">
      <alignment horizontal="center"/>
    </xf>
    <xf numFmtId="0" fontId="0" fillId="6" borderId="0" xfId="0" applyFill="1"/>
    <xf numFmtId="167" fontId="0" fillId="0" borderId="0" xfId="0" applyNumberFormat="1"/>
    <xf numFmtId="168" fontId="0" fillId="0" borderId="0" xfId="0" applyNumberFormat="1"/>
    <xf numFmtId="164" fontId="0" fillId="0" borderId="0" xfId="0" applyNumberFormat="1" applyAlignment="1">
      <alignment horizontal="center"/>
    </xf>
    <xf numFmtId="9" fontId="0" fillId="0" borderId="0" xfId="4" applyFont="1" applyAlignment="1">
      <alignment horizontal="center"/>
    </xf>
    <xf numFmtId="2" fontId="0" fillId="0" borderId="0" xfId="0" applyNumberFormat="1"/>
    <xf numFmtId="164" fontId="0" fillId="0" borderId="0" xfId="0" applyNumberFormat="1"/>
    <xf numFmtId="1" fontId="0" fillId="0" borderId="0" xfId="0" applyNumberFormat="1"/>
    <xf numFmtId="164" fontId="0" fillId="0" borderId="0" xfId="4" applyNumberFormat="1" applyFont="1" applyAlignment="1">
      <alignment horizontal="center"/>
    </xf>
    <xf numFmtId="166" fontId="0" fillId="0" borderId="0" xfId="0" applyNumberFormat="1" applyAlignment="1">
      <alignment horizontal="center"/>
    </xf>
    <xf numFmtId="167" fontId="0" fillId="0" borderId="2" xfId="2" applyNumberFormat="1" applyFont="1" applyFill="1" applyBorder="1" applyAlignment="1">
      <alignment horizontal="center"/>
    </xf>
    <xf numFmtId="167" fontId="0" fillId="0" borderId="6" xfId="2" applyNumberFormat="1" applyFont="1" applyFill="1" applyBorder="1" applyAlignment="1">
      <alignment horizontal="center"/>
    </xf>
    <xf numFmtId="167" fontId="0" fillId="0" borderId="0" xfId="2" applyNumberFormat="1" applyFont="1" applyFill="1" applyBorder="1" applyAlignment="1">
      <alignment horizontal="center"/>
    </xf>
    <xf numFmtId="0" fontId="17" fillId="0" borderId="0" xfId="0" applyFont="1" applyAlignment="1">
      <alignment horizontal="left"/>
    </xf>
    <xf numFmtId="167" fontId="18" fillId="0" borderId="8" xfId="2" applyNumberFormat="1" applyFont="1" applyFill="1" applyBorder="1" applyAlignment="1">
      <alignment horizontal="center"/>
    </xf>
    <xf numFmtId="165" fontId="0" fillId="0" borderId="0" xfId="0" applyNumberFormat="1" applyAlignment="1">
      <alignment horizontal="center"/>
    </xf>
    <xf numFmtId="167" fontId="0" fillId="4" borderId="1" xfId="2" applyNumberFormat="1" applyFont="1" applyFill="1" applyBorder="1"/>
    <xf numFmtId="167" fontId="0" fillId="0" borderId="0" xfId="0" applyNumberFormat="1" applyAlignment="1">
      <alignment vertical="center"/>
    </xf>
    <xf numFmtId="167" fontId="2" fillId="0" borderId="2" xfId="2" applyNumberFormat="1" applyFont="1" applyFill="1" applyBorder="1" applyAlignment="1">
      <alignment horizontal="center"/>
    </xf>
    <xf numFmtId="167" fontId="2" fillId="0" borderId="6" xfId="2" applyNumberFormat="1" applyFont="1" applyFill="1" applyBorder="1" applyAlignment="1">
      <alignment horizontal="center"/>
    </xf>
    <xf numFmtId="167" fontId="2" fillId="0" borderId="0" xfId="2" applyNumberFormat="1" applyFont="1" applyFill="1" applyBorder="1" applyAlignment="1">
      <alignment horizontal="center"/>
    </xf>
    <xf numFmtId="167" fontId="2" fillId="4" borderId="1" xfId="2" applyNumberFormat="1" applyFont="1" applyFill="1" applyBorder="1" applyAlignment="1">
      <alignment horizontal="center"/>
    </xf>
    <xf numFmtId="0" fontId="3" fillId="0" borderId="0" xfId="0" quotePrefix="1" applyFont="1"/>
    <xf numFmtId="0" fontId="2" fillId="0" borderId="12" xfId="0" applyFont="1" applyBorder="1"/>
    <xf numFmtId="0" fontId="0" fillId="0" borderId="2" xfId="0" applyBorder="1"/>
    <xf numFmtId="0" fontId="3" fillId="0" borderId="2" xfId="0" applyFont="1" applyBorder="1" applyAlignment="1">
      <alignment horizontal="center"/>
    </xf>
    <xf numFmtId="0" fontId="0" fillId="0" borderId="13" xfId="0" applyBorder="1" applyAlignment="1">
      <alignment horizontal="center"/>
    </xf>
    <xf numFmtId="167" fontId="0" fillId="0" borderId="13" xfId="2" applyNumberFormat="1" applyFont="1" applyFill="1" applyBorder="1" applyAlignment="1">
      <alignment horizontal="center"/>
    </xf>
    <xf numFmtId="167" fontId="0" fillId="0" borderId="4" xfId="2" applyNumberFormat="1" applyFont="1" applyFill="1" applyBorder="1" applyAlignment="1">
      <alignment horizontal="center"/>
    </xf>
    <xf numFmtId="167" fontId="0" fillId="0" borderId="14" xfId="2" applyNumberFormat="1" applyFont="1" applyFill="1" applyBorder="1" applyAlignment="1">
      <alignment horizontal="center"/>
    </xf>
    <xf numFmtId="0" fontId="0" fillId="0" borderId="15" xfId="0" applyBorder="1"/>
    <xf numFmtId="167" fontId="0" fillId="4" borderId="1" xfId="0" applyNumberFormat="1" applyFill="1" applyBorder="1" applyAlignment="1">
      <alignment horizontal="center"/>
    </xf>
    <xf numFmtId="0" fontId="1" fillId="2" borderId="0" xfId="0" applyFont="1" applyFill="1" applyAlignment="1">
      <alignment horizontal="center"/>
    </xf>
    <xf numFmtId="0" fontId="0" fillId="0" borderId="11" xfId="0" applyBorder="1" applyAlignment="1">
      <alignment horizontal="center" wrapText="1"/>
    </xf>
    <xf numFmtId="49" fontId="0" fillId="0" borderId="0" xfId="0" applyNumberFormat="1"/>
    <xf numFmtId="166" fontId="0" fillId="4" borderId="1" xfId="0" applyNumberFormat="1" applyFill="1" applyBorder="1" applyAlignment="1">
      <alignment horizontal="center" wrapText="1"/>
    </xf>
    <xf numFmtId="1" fontId="0" fillId="0" borderId="0" xfId="4" applyNumberFormat="1" applyFont="1" applyAlignment="1">
      <alignment horizontal="center"/>
    </xf>
    <xf numFmtId="166" fontId="0" fillId="0" borderId="2" xfId="0" applyNumberFormat="1" applyBorder="1" applyAlignment="1">
      <alignment horizontal="center"/>
    </xf>
    <xf numFmtId="0" fontId="6" fillId="2" borderId="0" xfId="0" applyFont="1" applyFill="1"/>
    <xf numFmtId="0" fontId="9" fillId="0" borderId="0" xfId="0" applyFont="1" applyAlignment="1">
      <alignment horizontal="center" wrapText="1"/>
    </xf>
    <xf numFmtId="0" fontId="6" fillId="0" borderId="0" xfId="0" applyFont="1" applyAlignment="1">
      <alignment horizontal="right"/>
    </xf>
    <xf numFmtId="169" fontId="6" fillId="0" borderId="0" xfId="2" applyNumberFormat="1" applyFont="1"/>
    <xf numFmtId="169" fontId="6" fillId="0" borderId="0" xfId="0" applyNumberFormat="1" applyFont="1"/>
    <xf numFmtId="0" fontId="4" fillId="0" borderId="0" xfId="0" applyFont="1" applyAlignment="1">
      <alignment horizontal="left"/>
    </xf>
    <xf numFmtId="1" fontId="4" fillId="0" borderId="0" xfId="2" applyNumberFormat="1" applyFont="1" applyFill="1" applyBorder="1" applyAlignment="1">
      <alignment horizontal="left"/>
    </xf>
    <xf numFmtId="1" fontId="24" fillId="0" borderId="0" xfId="2" applyNumberFormat="1" applyFont="1" applyFill="1" applyBorder="1" applyAlignment="1">
      <alignment horizontal="left"/>
    </xf>
    <xf numFmtId="1" fontId="0" fillId="0" borderId="4" xfId="0" applyNumberFormat="1" applyBorder="1" applyAlignment="1">
      <alignment horizontal="center"/>
    </xf>
    <xf numFmtId="1" fontId="3" fillId="4" borderId="1" xfId="0" applyNumberFormat="1" applyFont="1" applyFill="1" applyBorder="1" applyAlignment="1">
      <alignment horizontal="center"/>
    </xf>
    <xf numFmtId="0" fontId="2" fillId="0" borderId="1" xfId="0" applyFont="1" applyBorder="1" applyAlignment="1">
      <alignment horizontal="center" wrapText="1"/>
    </xf>
    <xf numFmtId="169" fontId="6" fillId="0" borderId="1" xfId="0" applyNumberFormat="1" applyFont="1" applyBorder="1" applyAlignment="1">
      <alignment horizontal="center"/>
    </xf>
    <xf numFmtId="0" fontId="25" fillId="0" borderId="0" xfId="0" applyFont="1"/>
    <xf numFmtId="0" fontId="2" fillId="0" borderId="20" xfId="0" applyFont="1" applyBorder="1" applyAlignment="1">
      <alignment horizontal="center" wrapText="1"/>
    </xf>
    <xf numFmtId="0" fontId="2" fillId="0" borderId="21" xfId="0" applyFont="1" applyBorder="1" applyAlignment="1">
      <alignment horizontal="center" wrapText="1"/>
    </xf>
    <xf numFmtId="0" fontId="0" fillId="0" borderId="17" xfId="0" applyBorder="1"/>
    <xf numFmtId="0" fontId="0" fillId="0" borderId="18" xfId="0" applyBorder="1"/>
    <xf numFmtId="0" fontId="2" fillId="0" borderId="18" xfId="0" applyFont="1" applyBorder="1" applyAlignment="1">
      <alignment horizontal="center" wrapText="1"/>
    </xf>
    <xf numFmtId="0" fontId="0" fillId="0" borderId="19" xfId="0" applyBorder="1"/>
    <xf numFmtId="0" fontId="25" fillId="0" borderId="22" xfId="0" applyFont="1" applyBorder="1"/>
    <xf numFmtId="0" fontId="25" fillId="0" borderId="23" xfId="0" applyFont="1" applyBorder="1"/>
    <xf numFmtId="0" fontId="0" fillId="0" borderId="22" xfId="0" applyBorder="1"/>
    <xf numFmtId="0" fontId="0" fillId="0" borderId="23" xfId="0" applyBorder="1"/>
    <xf numFmtId="170" fontId="0" fillId="0" borderId="0" xfId="4" applyNumberFormat="1" applyFont="1" applyBorder="1" applyAlignment="1">
      <alignment horizontal="center" wrapText="1"/>
    </xf>
    <xf numFmtId="0" fontId="18" fillId="0" borderId="20" xfId="0" applyFont="1" applyBorder="1"/>
    <xf numFmtId="164" fontId="18" fillId="0" borderId="7" xfId="0" applyNumberFormat="1" applyFont="1" applyBorder="1" applyAlignment="1">
      <alignment horizontal="center" wrapText="1"/>
    </xf>
    <xf numFmtId="0" fontId="18" fillId="0" borderId="7" xfId="0" applyFont="1" applyBorder="1"/>
    <xf numFmtId="0" fontId="18" fillId="0" borderId="21" xfId="0" applyFont="1" applyBorder="1"/>
    <xf numFmtId="0" fontId="0" fillId="0" borderId="22" xfId="0" applyBorder="1" applyAlignment="1">
      <alignment horizontal="left" indent="2"/>
    </xf>
    <xf numFmtId="0" fontId="25" fillId="0" borderId="22" xfId="0" applyFont="1" applyBorder="1" applyAlignment="1">
      <alignment horizontal="left" indent="3"/>
    </xf>
    <xf numFmtId="0" fontId="0" fillId="0" borderId="20" xfId="0" applyBorder="1"/>
    <xf numFmtId="0" fontId="0" fillId="0" borderId="21" xfId="0" applyBorder="1"/>
    <xf numFmtId="0" fontId="0" fillId="7" borderId="1" xfId="0" applyFill="1" applyBorder="1"/>
    <xf numFmtId="0" fontId="0" fillId="5" borderId="1" xfId="0" applyFill="1" applyBorder="1"/>
    <xf numFmtId="0" fontId="2" fillId="0" borderId="24" xfId="0" applyFont="1" applyBorder="1" applyAlignment="1">
      <alignment horizontal="center" wrapText="1"/>
    </xf>
    <xf numFmtId="0" fontId="25" fillId="0" borderId="0" xfId="0" applyFont="1" applyAlignment="1">
      <alignment horizontal="left" indent="3"/>
    </xf>
    <xf numFmtId="0" fontId="2" fillId="0" borderId="17" xfId="0" applyFont="1" applyBorder="1" applyAlignment="1">
      <alignment horizontal="center" wrapText="1"/>
    </xf>
    <xf numFmtId="0" fontId="2" fillId="0" borderId="19" xfId="0" applyFont="1" applyBorder="1" applyAlignment="1">
      <alignment horizontal="center" wrapText="1"/>
    </xf>
    <xf numFmtId="164" fontId="0" fillId="0" borderId="0" xfId="0" applyNumberFormat="1" applyAlignment="1">
      <alignment horizontal="center" wrapText="1"/>
    </xf>
    <xf numFmtId="0" fontId="26" fillId="0" borderId="0" xfId="0" applyFont="1" applyAlignment="1">
      <alignment horizontal="center" wrapText="1"/>
    </xf>
    <xf numFmtId="0" fontId="25" fillId="0" borderId="0" xfId="0" applyFont="1" applyAlignment="1">
      <alignment horizontal="center" wrapText="1"/>
    </xf>
    <xf numFmtId="0" fontId="2" fillId="0" borderId="0" xfId="0" applyFont="1" applyAlignment="1">
      <alignment horizontal="center"/>
    </xf>
    <xf numFmtId="164" fontId="0" fillId="0" borderId="18" xfId="0" applyNumberFormat="1" applyBorder="1" applyAlignment="1">
      <alignment horizontal="center"/>
    </xf>
    <xf numFmtId="0" fontId="2" fillId="0" borderId="22" xfId="0" applyFont="1" applyBorder="1" applyAlignment="1">
      <alignment horizontal="center" wrapText="1"/>
    </xf>
    <xf numFmtId="164" fontId="0" fillId="0" borderId="22" xfId="0" applyNumberFormat="1" applyBorder="1" applyAlignment="1">
      <alignment horizontal="center" wrapText="1"/>
    </xf>
    <xf numFmtId="0" fontId="26" fillId="0" borderId="22" xfId="0" applyFont="1" applyBorder="1" applyAlignment="1">
      <alignment horizontal="center" wrapText="1"/>
    </xf>
    <xf numFmtId="0" fontId="0" fillId="0" borderId="22" xfId="0" applyBorder="1" applyAlignment="1">
      <alignment horizontal="center" wrapText="1"/>
    </xf>
    <xf numFmtId="0" fontId="25" fillId="0" borderId="22" xfId="0" applyFont="1" applyBorder="1" applyAlignment="1">
      <alignment horizontal="center" wrapText="1"/>
    </xf>
    <xf numFmtId="164" fontId="18" fillId="0" borderId="20" xfId="0" applyNumberFormat="1" applyFont="1" applyBorder="1" applyAlignment="1">
      <alignment horizontal="center" wrapText="1"/>
    </xf>
    <xf numFmtId="0" fontId="0" fillId="0" borderId="22" xfId="0" applyBorder="1" applyAlignment="1">
      <alignment horizontal="center"/>
    </xf>
    <xf numFmtId="0" fontId="25" fillId="0" borderId="22" xfId="0" applyFont="1" applyBorder="1" applyAlignment="1">
      <alignment horizontal="center"/>
    </xf>
    <xf numFmtId="0" fontId="25" fillId="0" borderId="0" xfId="0" applyFont="1" applyAlignment="1">
      <alignment horizontal="center"/>
    </xf>
    <xf numFmtId="0" fontId="27" fillId="0" borderId="0" xfId="0" applyFont="1"/>
    <xf numFmtId="0" fontId="0" fillId="4" borderId="11" xfId="0" applyFill="1" applyBorder="1" applyAlignment="1">
      <alignment horizontal="center"/>
    </xf>
    <xf numFmtId="166" fontId="0" fillId="4" borderId="11" xfId="0" applyNumberFormat="1" applyFill="1" applyBorder="1" applyAlignment="1">
      <alignment horizontal="center"/>
    </xf>
    <xf numFmtId="0" fontId="17" fillId="4" borderId="11" xfId="0" applyFont="1" applyFill="1" applyBorder="1" applyAlignment="1">
      <alignment horizontal="center"/>
    </xf>
    <xf numFmtId="1" fontId="17" fillId="4" borderId="11" xfId="0" applyNumberFormat="1" applyFont="1" applyFill="1" applyBorder="1" applyAlignment="1">
      <alignment horizontal="center"/>
    </xf>
    <xf numFmtId="0" fontId="0" fillId="2" borderId="11" xfId="0" applyFill="1" applyBorder="1" applyAlignment="1">
      <alignment horizontal="center"/>
    </xf>
    <xf numFmtId="1" fontId="0" fillId="4" borderId="11" xfId="0" applyNumberFormat="1" applyFill="1" applyBorder="1" applyAlignment="1">
      <alignment horizontal="center"/>
    </xf>
    <xf numFmtId="0" fontId="0" fillId="0" borderId="25" xfId="0" applyBorder="1"/>
    <xf numFmtId="0" fontId="0" fillId="0" borderId="25" xfId="0" applyBorder="1" applyAlignment="1">
      <alignment horizontal="center"/>
    </xf>
    <xf numFmtId="166" fontId="0" fillId="0" borderId="25" xfId="0" applyNumberFormat="1" applyBorder="1" applyAlignment="1">
      <alignment horizontal="center"/>
    </xf>
    <xf numFmtId="0" fontId="17" fillId="0" borderId="25" xfId="0" applyFont="1" applyBorder="1" applyAlignment="1">
      <alignment horizontal="center"/>
    </xf>
    <xf numFmtId="1" fontId="17" fillId="0" borderId="25" xfId="0" applyNumberFormat="1" applyFont="1" applyBorder="1" applyAlignment="1">
      <alignment horizontal="center"/>
    </xf>
    <xf numFmtId="1" fontId="0" fillId="0" borderId="25" xfId="0" applyNumberFormat="1" applyBorder="1" applyAlignment="1">
      <alignment horizontal="center"/>
    </xf>
    <xf numFmtId="0" fontId="9" fillId="0" borderId="25" xfId="0" applyFont="1" applyBorder="1"/>
    <xf numFmtId="0" fontId="0" fillId="8" borderId="0" xfId="0" applyFill="1"/>
    <xf numFmtId="0" fontId="0" fillId="8" borderId="0" xfId="0" applyFill="1" applyAlignment="1">
      <alignment horizontal="center"/>
    </xf>
    <xf numFmtId="166" fontId="0" fillId="8" borderId="0" xfId="0" applyNumberFormat="1" applyFill="1" applyAlignment="1">
      <alignment horizontal="center"/>
    </xf>
    <xf numFmtId="0" fontId="17" fillId="8" borderId="0" xfId="0" applyFont="1" applyFill="1" applyAlignment="1">
      <alignment horizontal="center"/>
    </xf>
    <xf numFmtId="1" fontId="17" fillId="8" borderId="0" xfId="0" applyNumberFormat="1" applyFont="1" applyFill="1" applyAlignment="1">
      <alignment horizontal="center"/>
    </xf>
    <xf numFmtId="1" fontId="0" fillId="8" borderId="0" xfId="0" applyNumberFormat="1" applyFill="1" applyAlignment="1">
      <alignment horizontal="center"/>
    </xf>
    <xf numFmtId="0" fontId="9" fillId="8" borderId="0" xfId="0" applyFont="1" applyFill="1"/>
    <xf numFmtId="0" fontId="0" fillId="0" borderId="0" xfId="0" applyAlignment="1">
      <alignment vertical="top"/>
    </xf>
    <xf numFmtId="0" fontId="0" fillId="0" borderId="7" xfId="0" applyBorder="1" applyAlignment="1">
      <alignment horizontal="center"/>
    </xf>
    <xf numFmtId="0" fontId="9" fillId="0" borderId="7" xfId="0" applyFont="1" applyBorder="1"/>
    <xf numFmtId="0" fontId="0" fillId="0" borderId="8" xfId="0" applyBorder="1" applyAlignment="1">
      <alignment horizontal="center"/>
    </xf>
    <xf numFmtId="166" fontId="0" fillId="0" borderId="8" xfId="0" applyNumberFormat="1" applyBorder="1" applyAlignment="1">
      <alignment horizontal="center"/>
    </xf>
    <xf numFmtId="0" fontId="17" fillId="0" borderId="8" xfId="0" applyFont="1" applyBorder="1" applyAlignment="1">
      <alignment horizontal="center"/>
    </xf>
    <xf numFmtId="1" fontId="17" fillId="0" borderId="8" xfId="0" applyNumberFormat="1" applyFont="1" applyBorder="1" applyAlignment="1">
      <alignment horizontal="center"/>
    </xf>
    <xf numFmtId="1" fontId="0" fillId="0" borderId="8" xfId="0" applyNumberFormat="1" applyBorder="1" applyAlignment="1">
      <alignment horizontal="center"/>
    </xf>
    <xf numFmtId="0" fontId="0" fillId="9" borderId="1" xfId="0" applyFill="1" applyBorder="1" applyAlignment="1">
      <alignment horizontal="center"/>
    </xf>
    <xf numFmtId="165" fontId="0" fillId="0" borderId="0" xfId="0" applyNumberFormat="1" applyAlignment="1">
      <alignment horizontal="left"/>
    </xf>
    <xf numFmtId="0" fontId="28" fillId="0" borderId="0" xfId="0" applyFont="1"/>
    <xf numFmtId="0" fontId="0" fillId="0" borderId="7" xfId="0" applyBorder="1" applyAlignment="1">
      <alignment horizontal="left"/>
    </xf>
    <xf numFmtId="0" fontId="29" fillId="0" borderId="0" xfId="0" applyFont="1"/>
    <xf numFmtId="0" fontId="30" fillId="0" borderId="0" xfId="0" applyFont="1"/>
    <xf numFmtId="0" fontId="31" fillId="0" borderId="0" xfId="0" applyFont="1"/>
    <xf numFmtId="0" fontId="32" fillId="0" borderId="0" xfId="0" applyFont="1"/>
    <xf numFmtId="0" fontId="33" fillId="0" borderId="0" xfId="0" applyFont="1"/>
    <xf numFmtId="0" fontId="34" fillId="0" borderId="0" xfId="0" applyFont="1"/>
    <xf numFmtId="0" fontId="35" fillId="0" borderId="7" xfId="0" applyFont="1" applyBorder="1"/>
    <xf numFmtId="0" fontId="36" fillId="0" borderId="7" xfId="0" applyFont="1" applyBorder="1"/>
    <xf numFmtId="0" fontId="37" fillId="0" borderId="0" xfId="0" applyFont="1"/>
    <xf numFmtId="0" fontId="38" fillId="0" borderId="7" xfId="0" applyFont="1" applyBorder="1"/>
    <xf numFmtId="0" fontId="13" fillId="0" borderId="7" xfId="0" applyFont="1" applyBorder="1"/>
    <xf numFmtId="167" fontId="0" fillId="0" borderId="0" xfId="2" applyNumberFormat="1" applyFont="1" applyBorder="1" applyAlignment="1">
      <alignment horizontal="center"/>
    </xf>
    <xf numFmtId="0" fontId="0" fillId="3" borderId="1" xfId="0" applyFill="1" applyBorder="1" applyAlignment="1" applyProtection="1">
      <alignment horizontal="center"/>
      <protection locked="0"/>
    </xf>
    <xf numFmtId="0" fontId="0" fillId="7" borderId="1" xfId="0" applyFill="1" applyBorder="1" applyAlignment="1" applyProtection="1">
      <alignment horizontal="center"/>
      <protection locked="0"/>
    </xf>
    <xf numFmtId="0" fontId="0" fillId="0" borderId="1" xfId="0" applyBorder="1" applyAlignment="1" applyProtection="1">
      <alignment horizontal="center"/>
      <protection locked="0"/>
    </xf>
    <xf numFmtId="0" fontId="0" fillId="4" borderId="1" xfId="0"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0" borderId="1" xfId="0" applyBorder="1" applyAlignment="1" applyProtection="1">
      <alignment horizontal="center" wrapText="1"/>
      <protection locked="0"/>
    </xf>
    <xf numFmtId="0" fontId="0" fillId="5" borderId="1" xfId="0" applyFill="1" applyBorder="1" applyAlignment="1" applyProtection="1">
      <alignment horizontal="center"/>
      <protection locked="0"/>
    </xf>
    <xf numFmtId="0" fontId="0" fillId="5" borderId="11" xfId="0" applyFill="1" applyBorder="1" applyAlignment="1" applyProtection="1">
      <alignment horizontal="center"/>
      <protection locked="0"/>
    </xf>
    <xf numFmtId="0" fontId="0" fillId="0" borderId="11" xfId="0" applyBorder="1" applyAlignment="1" applyProtection="1">
      <alignment horizontal="center"/>
      <protection locked="0"/>
    </xf>
    <xf numFmtId="49" fontId="0" fillId="0" borderId="11" xfId="0" applyNumberFormat="1" applyBorder="1" applyAlignment="1" applyProtection="1">
      <alignment horizontal="center"/>
      <protection locked="0"/>
    </xf>
    <xf numFmtId="0" fontId="0" fillId="2" borderId="11" xfId="0" applyFill="1" applyBorder="1" applyAlignment="1" applyProtection="1">
      <alignment horizontal="center"/>
      <protection locked="0"/>
    </xf>
    <xf numFmtId="0" fontId="0" fillId="4" borderId="1" xfId="0" applyFill="1" applyBorder="1" applyAlignment="1" applyProtection="1">
      <alignment horizontal="center" wrapText="1"/>
      <protection locked="0"/>
    </xf>
    <xf numFmtId="0" fontId="0" fillId="0" borderId="1" xfId="0" applyBorder="1" applyAlignment="1" applyProtection="1">
      <alignment horizontal="center" vertical="center"/>
      <protection locked="0"/>
    </xf>
    <xf numFmtId="14" fontId="0" fillId="0" borderId="0" xfId="0" applyNumberFormat="1"/>
    <xf numFmtId="0" fontId="12" fillId="0" borderId="0" xfId="0" applyFont="1" applyAlignment="1">
      <alignment horizontal="center"/>
    </xf>
    <xf numFmtId="0" fontId="0" fillId="0" borderId="0" xfId="0" applyAlignment="1">
      <alignment horizontal="center"/>
    </xf>
    <xf numFmtId="0" fontId="0" fillId="0" borderId="10"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 xfId="0" applyBorder="1" applyAlignment="1">
      <alignment horizontal="center"/>
    </xf>
    <xf numFmtId="0" fontId="2" fillId="0" borderId="17" xfId="0" applyFont="1" applyBorder="1" applyAlignment="1">
      <alignment horizontal="center"/>
    </xf>
    <xf numFmtId="0" fontId="2" fillId="0" borderId="18" xfId="0" applyFont="1" applyBorder="1" applyAlignment="1">
      <alignment horizontal="center"/>
    </xf>
    <xf numFmtId="0" fontId="2" fillId="0" borderId="19" xfId="0" applyFont="1" applyBorder="1" applyAlignment="1">
      <alignment horizontal="center"/>
    </xf>
    <xf numFmtId="0" fontId="0" fillId="0" borderId="11"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1"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67" fontId="0" fillId="4" borderId="11" xfId="2" applyNumberFormat="1" applyFont="1" applyFill="1" applyBorder="1" applyAlignment="1">
      <alignment horizontal="center" vertical="center"/>
    </xf>
    <xf numFmtId="167" fontId="0" fillId="4" borderId="5" xfId="2" applyNumberFormat="1" applyFont="1" applyFill="1" applyBorder="1" applyAlignment="1">
      <alignment horizontal="center" vertical="center"/>
    </xf>
    <xf numFmtId="0" fontId="0" fillId="0" borderId="3" xfId="0" applyBorder="1" applyAlignment="1">
      <alignment horizontal="center"/>
    </xf>
    <xf numFmtId="0" fontId="2" fillId="3" borderId="0" xfId="0" applyFont="1" applyFill="1" applyAlignment="1">
      <alignment horizontal="center"/>
    </xf>
  </cellXfs>
  <cellStyles count="5">
    <cellStyle name="Comma" xfId="2" builtinId="3"/>
    <cellStyle name="Hyperlink" xfId="3" builtinId="8"/>
    <cellStyle name="Normal" xfId="0" builtinId="0"/>
    <cellStyle name="Normal 2" xfId="1" xr:uid="{AD8523B8-3020-4CF5-9623-F2BA63F41E87}"/>
    <cellStyle name="Percent" xfId="4" builtinId="5"/>
  </cellStyles>
  <dxfs count="248">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4.9989318521683403E-2"/>
        </patternFill>
      </fill>
    </dxf>
    <dxf>
      <fill>
        <patternFill>
          <bgColor rgb="FFFFFF00"/>
        </patternFill>
      </fill>
    </dxf>
    <dxf>
      <fill>
        <patternFill>
          <bgColor rgb="FFFF0000"/>
        </patternFill>
      </fill>
    </dxf>
    <dxf>
      <fill>
        <patternFill>
          <bgColor rgb="FFFF0000"/>
        </patternFill>
      </fill>
    </dxf>
    <dxf>
      <fill>
        <patternFill>
          <bgColor theme="0" tint="-4.9989318521683403E-2"/>
        </patternFill>
      </fill>
    </dxf>
    <dxf>
      <fill>
        <patternFill>
          <bgColor rgb="FFFFFF00"/>
        </patternFill>
      </fill>
    </dxf>
    <dxf>
      <fill>
        <patternFill>
          <bgColor rgb="FFFFFF00"/>
        </patternFill>
      </fill>
    </dxf>
    <dxf>
      <fill>
        <patternFill>
          <bgColor rgb="FFFF0000"/>
        </patternFill>
      </fill>
    </dxf>
    <dxf>
      <fill>
        <patternFill>
          <bgColor theme="0" tint="-4.9989318521683403E-2"/>
        </patternFill>
      </fill>
    </dxf>
    <dxf>
      <font>
        <b/>
        <i val="0"/>
        <color rgb="FFFF0000"/>
      </font>
    </dxf>
    <dxf>
      <font>
        <b/>
        <i val="0"/>
        <color rgb="FFFF0000"/>
      </font>
    </dxf>
    <dxf>
      <fill>
        <patternFill>
          <bgColor rgb="FF99CCFF"/>
        </patternFill>
      </fill>
    </dxf>
    <dxf>
      <fill>
        <patternFill>
          <bgColor theme="0" tint="-4.9989318521683403E-2"/>
        </patternFill>
      </fill>
    </dxf>
    <dxf>
      <font>
        <b/>
        <i val="0"/>
        <color rgb="FFFF0000"/>
      </font>
    </dxf>
    <dxf>
      <font>
        <b/>
        <i val="0"/>
        <color rgb="FFFF0000"/>
      </font>
    </dxf>
    <dxf>
      <font>
        <b/>
        <i val="0"/>
        <color rgb="FFFF0000"/>
      </font>
    </dxf>
    <dxf>
      <fill>
        <patternFill>
          <bgColor rgb="FF99CCFF"/>
        </patternFill>
      </fill>
    </dxf>
    <dxf>
      <fill>
        <patternFill>
          <bgColor rgb="FF99CCFF"/>
        </patternFill>
      </fill>
    </dxf>
    <dxf>
      <fill>
        <patternFill>
          <bgColor rgb="FF99CCFF"/>
        </patternFill>
      </fill>
    </dxf>
    <dxf>
      <fill>
        <patternFill>
          <bgColor theme="0" tint="-4.9989318521683403E-2"/>
        </patternFill>
      </fill>
    </dxf>
    <dxf>
      <fill>
        <patternFill>
          <bgColor theme="0" tint="-4.9989318521683403E-2"/>
        </patternFill>
      </fill>
    </dxf>
    <dxf>
      <fill>
        <patternFill>
          <bgColor rgb="FF99CCFF"/>
        </patternFill>
      </fill>
    </dxf>
    <dxf>
      <fill>
        <patternFill>
          <bgColor rgb="FFFF0000"/>
        </patternFill>
      </fill>
    </dxf>
    <dxf>
      <fill>
        <patternFill>
          <bgColor rgb="FFFF0000"/>
        </patternFill>
      </fill>
    </dxf>
    <dxf>
      <fill>
        <patternFill>
          <bgColor rgb="FFFF0000"/>
        </patternFill>
      </fill>
    </dxf>
    <dxf>
      <fill>
        <patternFill>
          <bgColor rgb="FF99CCFF"/>
        </patternFill>
      </fill>
    </dxf>
    <dxf>
      <fill>
        <patternFill>
          <bgColor rgb="FF99CCFF"/>
        </patternFill>
      </fill>
    </dxf>
    <dxf>
      <fill>
        <patternFill>
          <bgColor rgb="FF99CCFF"/>
        </patternFill>
      </fill>
    </dxf>
    <dxf>
      <fill>
        <patternFill>
          <bgColor rgb="FFFF0000"/>
        </patternFill>
      </fill>
    </dxf>
    <dxf>
      <fill>
        <patternFill>
          <bgColor theme="0" tint="-4.9989318521683403E-2"/>
        </patternFill>
      </fill>
    </dxf>
    <dxf>
      <fill>
        <patternFill>
          <bgColor rgb="FFFF0000"/>
        </patternFill>
      </fill>
    </dxf>
    <dxf>
      <fill>
        <patternFill>
          <bgColor theme="0" tint="-4.9989318521683403E-2"/>
        </patternFill>
      </fill>
    </dxf>
    <dxf>
      <fill>
        <patternFill>
          <bgColor rgb="FFFF0000"/>
        </patternFill>
      </fill>
    </dxf>
    <dxf>
      <fill>
        <patternFill>
          <bgColor theme="0" tint="-4.9989318521683403E-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ill>
        <patternFill>
          <bgColor rgb="FFE1F0FF"/>
        </patternFill>
      </fill>
    </dxf>
    <dxf>
      <fill>
        <patternFill>
          <bgColor rgb="FF99CCFF"/>
        </patternFill>
      </fill>
    </dxf>
    <dxf>
      <fill>
        <patternFill>
          <bgColor rgb="FF99CCFF"/>
        </patternFill>
      </fill>
    </dxf>
    <dxf>
      <fill>
        <patternFill>
          <bgColor rgb="FFE1F0FF"/>
        </patternFill>
      </fill>
    </dxf>
    <dxf>
      <fill>
        <patternFill>
          <bgColor rgb="FFE1F0FF"/>
        </patternFill>
      </fill>
    </dxf>
    <dxf>
      <fill>
        <patternFill>
          <bgColor rgb="FF99CCFF"/>
        </patternFill>
      </fill>
    </dxf>
    <dxf>
      <fill>
        <patternFill>
          <bgColor rgb="FFE1F0FF"/>
        </patternFill>
      </fill>
    </dxf>
    <dxf>
      <fill>
        <patternFill>
          <bgColor rgb="FF99CCFF"/>
        </patternFill>
      </fill>
    </dxf>
    <dxf>
      <fill>
        <patternFill>
          <bgColor rgb="FFE1F0FF"/>
        </patternFill>
      </fill>
    </dxf>
    <dxf>
      <fill>
        <patternFill>
          <bgColor rgb="FF99CCFF"/>
        </patternFill>
      </fill>
    </dxf>
    <dxf>
      <fill>
        <patternFill>
          <bgColor rgb="FFE1F0FF"/>
        </patternFill>
      </fill>
    </dxf>
    <dxf>
      <fill>
        <patternFill>
          <bgColor rgb="FF99CCFF"/>
        </patternFill>
      </fill>
    </dxf>
    <dxf>
      <fill>
        <patternFill>
          <bgColor rgb="FFE1F0FF"/>
        </patternFill>
      </fill>
    </dxf>
    <dxf>
      <fill>
        <patternFill>
          <bgColor rgb="FF99CCFF"/>
        </patternFill>
      </fill>
    </dxf>
    <dxf>
      <fill>
        <patternFill>
          <bgColor rgb="FFE1F0FF"/>
        </patternFill>
      </fill>
    </dxf>
    <dxf>
      <fill>
        <patternFill>
          <bgColor rgb="FF99CCFF"/>
        </patternFill>
      </fill>
    </dxf>
    <dxf>
      <fill>
        <patternFill>
          <bgColor theme="9" tint="0.79998168889431442"/>
        </patternFill>
      </fill>
    </dxf>
    <dxf>
      <font>
        <color theme="0" tint="-0.499984740745262"/>
      </font>
      <fill>
        <patternFill>
          <bgColor theme="0" tint="-4.9989318521683403E-2"/>
        </patternFill>
      </fill>
    </dxf>
    <dxf>
      <fill>
        <patternFill>
          <bgColor theme="7" tint="0.79998168889431442"/>
        </patternFill>
      </fill>
    </dxf>
    <dxf>
      <font>
        <color theme="0" tint="-0.499984740745262"/>
      </font>
      <fill>
        <patternFill>
          <bgColor theme="0" tint="-4.9989318521683403E-2"/>
        </patternFill>
      </fill>
    </dxf>
    <dxf>
      <fill>
        <patternFill>
          <bgColor theme="7" tint="0.79998168889431442"/>
        </patternFill>
      </fill>
    </dxf>
    <dxf>
      <font>
        <color theme="0" tint="-0.499984740745262"/>
      </font>
      <fill>
        <patternFill>
          <bgColor theme="0" tint="-4.9989318521683403E-2"/>
        </patternFill>
      </fill>
    </dxf>
    <dxf>
      <fill>
        <patternFill>
          <bgColor theme="7" tint="0.79998168889431442"/>
        </patternFill>
      </fill>
    </dxf>
    <dxf>
      <font>
        <color theme="0" tint="-0.499984740745262"/>
      </font>
      <fill>
        <patternFill>
          <bgColor theme="0" tint="-4.9989318521683403E-2"/>
        </patternFill>
      </fill>
    </dxf>
    <dxf>
      <font>
        <b/>
        <i val="0"/>
        <color rgb="FFFF0000"/>
      </font>
    </dxf>
    <dxf>
      <font>
        <b/>
        <i val="0"/>
        <color rgb="FFFF0000"/>
      </font>
    </dxf>
    <dxf>
      <font>
        <b/>
        <i val="0"/>
        <color rgb="FFFF0000"/>
      </font>
    </dxf>
    <dxf>
      <font>
        <b/>
        <i val="0"/>
        <color rgb="FFFF0000"/>
      </font>
    </dxf>
    <dxf>
      <fill>
        <patternFill>
          <bgColor theme="0" tint="-4.9989318521683403E-2"/>
        </patternFill>
      </fill>
    </dxf>
    <dxf>
      <fill>
        <patternFill>
          <bgColor rgb="FFFFFF00"/>
        </patternFill>
      </fill>
    </dxf>
    <dxf>
      <fill>
        <patternFill>
          <bgColor rgb="FFFF0000"/>
        </patternFill>
      </fill>
    </dxf>
    <dxf>
      <fill>
        <patternFill>
          <bgColor theme="0" tint="-4.9989318521683403E-2"/>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theme="0" tint="-4.9989318521683403E-2"/>
        </patternFill>
      </fill>
    </dxf>
    <dxf>
      <fill>
        <patternFill>
          <bgColor theme="0" tint="-4.9989318521683403E-2"/>
        </patternFill>
      </fill>
    </dxf>
    <dxf>
      <fill>
        <patternFill>
          <bgColor rgb="FF99CCFF"/>
        </patternFill>
      </fill>
    </dxf>
    <dxf>
      <fill>
        <patternFill>
          <bgColor theme="0" tint="-4.9989318521683403E-2"/>
        </patternFill>
      </fill>
    </dxf>
    <dxf>
      <fill>
        <patternFill>
          <bgColor rgb="FF99CCFF"/>
        </patternFill>
      </fill>
    </dxf>
    <dxf>
      <font>
        <b/>
        <i val="0"/>
        <color rgb="FFFF0000"/>
      </font>
    </dxf>
    <dxf>
      <font>
        <b/>
        <i val="0"/>
        <color rgb="FFFF0000"/>
      </font>
    </dxf>
    <dxf>
      <font>
        <b/>
        <i val="0"/>
        <color rgb="FFFF0000"/>
      </font>
    </dxf>
    <dxf>
      <fill>
        <patternFill>
          <bgColor rgb="FFFF0000"/>
        </patternFill>
      </fill>
    </dxf>
    <dxf>
      <fill>
        <patternFill>
          <bgColor rgb="FF99CCFF"/>
        </patternFill>
      </fill>
    </dxf>
    <dxf>
      <fill>
        <patternFill>
          <bgColor theme="0" tint="-4.9989318521683403E-2"/>
        </patternFill>
      </fill>
    </dxf>
    <dxf>
      <fill>
        <patternFill>
          <bgColor rgb="FF99CCFF"/>
        </patternFill>
      </fill>
    </dxf>
    <dxf>
      <fill>
        <patternFill>
          <bgColor rgb="FFFF0000"/>
        </patternFill>
      </fill>
    </dxf>
    <dxf>
      <fill>
        <patternFill>
          <bgColor rgb="FFFF0000"/>
        </patternFill>
      </fill>
    </dxf>
    <dxf>
      <fill>
        <patternFill>
          <bgColor rgb="FF99CCFF"/>
        </patternFill>
      </fill>
    </dxf>
    <dxf>
      <fill>
        <patternFill>
          <bgColor theme="0" tint="-4.9989318521683403E-2"/>
        </patternFill>
      </fill>
    </dxf>
    <dxf>
      <fill>
        <patternFill>
          <bgColor theme="0" tint="-4.9989318521683403E-2"/>
        </patternFill>
      </fill>
    </dxf>
    <dxf>
      <fill>
        <patternFill>
          <bgColor rgb="FFFF0000"/>
        </patternFill>
      </fill>
    </dxf>
    <dxf>
      <fill>
        <patternFill>
          <bgColor theme="0" tint="-4.9989318521683403E-2"/>
        </patternFill>
      </fill>
    </dxf>
    <dxf>
      <fill>
        <patternFill>
          <bgColor rgb="FF99CCFF"/>
        </patternFill>
      </fill>
    </dxf>
    <dxf>
      <fill>
        <patternFill>
          <bgColor theme="0" tint="-4.9989318521683403E-2"/>
        </patternFill>
      </fill>
    </dxf>
    <dxf>
      <fill>
        <patternFill>
          <bgColor theme="7" tint="0.79998168889431442"/>
        </patternFill>
      </fill>
    </dxf>
    <dxf>
      <font>
        <color theme="0" tint="-0.499984740745262"/>
      </font>
      <fill>
        <patternFill>
          <bgColor theme="0" tint="-4.9989318521683403E-2"/>
        </patternFill>
      </fill>
    </dxf>
    <dxf>
      <fill>
        <patternFill>
          <bgColor rgb="FFE1F0FF"/>
        </patternFill>
      </fill>
    </dxf>
    <dxf>
      <fill>
        <patternFill>
          <bgColor rgb="FF99CCFF"/>
        </patternFill>
      </fill>
    </dxf>
    <dxf>
      <fill>
        <patternFill>
          <bgColor rgb="FFE1F0FF"/>
        </patternFill>
      </fill>
    </dxf>
    <dxf>
      <fill>
        <patternFill>
          <bgColor rgb="FF99CCFF"/>
        </patternFill>
      </fill>
    </dxf>
    <dxf>
      <fill>
        <patternFill>
          <bgColor rgb="FF99CCFF"/>
        </patternFill>
      </fill>
    </dxf>
    <dxf>
      <fill>
        <patternFill>
          <bgColor rgb="FFE1F0FF"/>
        </patternFill>
      </fill>
    </dxf>
    <dxf>
      <font>
        <color theme="0" tint="-0.499984740745262"/>
      </font>
      <fill>
        <patternFill>
          <bgColor theme="0" tint="-4.9989318521683403E-2"/>
        </patternFill>
      </fill>
    </dxf>
    <dxf>
      <fill>
        <patternFill>
          <bgColor theme="9" tint="0.79998168889431442"/>
        </patternFill>
      </fill>
    </dxf>
    <dxf>
      <fill>
        <patternFill>
          <bgColor theme="9" tint="0.79998168889431442"/>
        </patternFill>
      </fill>
    </dxf>
    <dxf>
      <font>
        <color theme="0" tint="-0.499984740745262"/>
      </font>
      <fill>
        <patternFill>
          <bgColor theme="0" tint="-4.9989318521683403E-2"/>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FF00"/>
        </patternFill>
      </fill>
    </dxf>
    <dxf>
      <fill>
        <patternFill>
          <bgColor theme="0" tint="-4.9989318521683403E-2"/>
        </patternFill>
      </fill>
    </dxf>
    <dxf>
      <fill>
        <patternFill>
          <bgColor theme="0" tint="-4.9989318521683403E-2"/>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theme="0" tint="-4.9989318521683403E-2"/>
        </patternFill>
      </fill>
    </dxf>
    <dxf>
      <fill>
        <patternFill>
          <bgColor rgb="FFFF0000"/>
        </patternFill>
      </fill>
    </dxf>
    <dxf>
      <fill>
        <patternFill>
          <bgColor theme="0" tint="-4.9989318521683403E-2"/>
        </patternFill>
      </fill>
    </dxf>
    <dxf>
      <fill>
        <patternFill>
          <bgColor rgb="FFFFFF00"/>
        </patternFill>
      </fill>
    </dxf>
    <dxf>
      <fill>
        <patternFill>
          <bgColor rgb="FFFFFF00"/>
        </patternFill>
      </fill>
    </dxf>
    <dxf>
      <fill>
        <patternFill>
          <bgColor theme="0" tint="-4.9989318521683403E-2"/>
        </patternFill>
      </fill>
    </dxf>
    <dxf>
      <fill>
        <patternFill>
          <bgColor rgb="FFFF0000"/>
        </patternFill>
      </fill>
    </dxf>
    <dxf>
      <fill>
        <patternFill>
          <bgColor theme="0" tint="-4.9989318521683403E-2"/>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theme="0" tint="-4.9989318521683403E-2"/>
        </patternFill>
      </fill>
    </dxf>
    <dxf>
      <fill>
        <patternFill>
          <bgColor rgb="FF99CCFF"/>
        </patternFill>
      </fill>
    </dxf>
    <dxf>
      <fill>
        <patternFill>
          <bgColor rgb="FFFF0000"/>
        </patternFill>
      </fill>
    </dxf>
    <dxf>
      <fill>
        <patternFill>
          <bgColor rgb="FF99CCFF"/>
        </patternFill>
      </fill>
    </dxf>
    <dxf>
      <fill>
        <patternFill>
          <bgColor rgb="FF99CCFF"/>
        </patternFill>
      </fill>
    </dxf>
    <dxf>
      <fill>
        <patternFill>
          <bgColor theme="0" tint="-4.9989318521683403E-2"/>
        </patternFill>
      </fill>
    </dxf>
    <dxf>
      <fill>
        <patternFill>
          <bgColor rgb="FFFF0000"/>
        </patternFill>
      </fill>
    </dxf>
    <dxf>
      <fill>
        <patternFill>
          <bgColor rgb="FFFF0000"/>
        </patternFill>
      </fill>
    </dxf>
    <dxf>
      <fill>
        <patternFill>
          <bgColor theme="0" tint="-4.9989318521683403E-2"/>
        </patternFill>
      </fill>
    </dxf>
    <dxf>
      <fill>
        <patternFill>
          <bgColor rgb="FF99CCFF"/>
        </patternFill>
      </fill>
    </dxf>
    <dxf>
      <fill>
        <patternFill>
          <bgColor rgb="FFE1F0FF"/>
        </patternFill>
      </fill>
    </dxf>
    <dxf>
      <fill>
        <patternFill>
          <bgColor rgb="FF99CCFF"/>
        </patternFill>
      </fill>
    </dxf>
    <dxf>
      <fill>
        <patternFill>
          <bgColor rgb="FF99CCFF"/>
        </patternFill>
      </fill>
    </dxf>
    <dxf>
      <fill>
        <patternFill>
          <bgColor rgb="FFE1F0FF"/>
        </patternFill>
      </fill>
    </dxf>
    <dxf>
      <fill>
        <patternFill>
          <bgColor rgb="FFE1F0FF"/>
        </patternFill>
      </fill>
    </dxf>
    <dxf>
      <fill>
        <patternFill>
          <bgColor rgb="FF99CCFF"/>
        </patternFill>
      </fill>
    </dxf>
    <dxf>
      <fill>
        <patternFill>
          <bgColor rgb="FFE1F0FF"/>
        </patternFill>
      </fill>
    </dxf>
    <dxf>
      <font>
        <color theme="0" tint="-0.499984740745262"/>
      </font>
      <fill>
        <patternFill>
          <bgColor theme="0" tint="-4.9989318521683403E-2"/>
        </patternFill>
      </fill>
    </dxf>
    <dxf>
      <fill>
        <patternFill>
          <bgColor rgb="FF99CCFF"/>
        </patternFill>
      </fill>
    </dxf>
    <dxf>
      <font>
        <color theme="0" tint="-0.499984740745262"/>
      </font>
      <fill>
        <patternFill>
          <bgColor theme="0" tint="-4.9989318521683403E-2"/>
        </patternFill>
      </fill>
    </dxf>
    <dxf>
      <fill>
        <patternFill>
          <bgColor theme="9" tint="0.79998168889431442"/>
        </patternFill>
      </fill>
    </dxf>
    <dxf>
      <fill>
        <patternFill>
          <bgColor theme="9" tint="0.79998168889431442"/>
        </patternFill>
      </fill>
    </dxf>
    <dxf>
      <font>
        <color theme="0" tint="-0.499984740745262"/>
      </font>
      <fill>
        <patternFill>
          <bgColor theme="0" tint="-4.9989318521683403E-2"/>
        </patternFill>
      </fill>
    </dxf>
    <dxf>
      <fill>
        <patternFill>
          <bgColor theme="9" tint="0.79998168889431442"/>
        </patternFill>
      </fill>
    </dxf>
    <dxf>
      <font>
        <color theme="0" tint="-0.499984740745262"/>
      </font>
      <fill>
        <patternFill>
          <bgColor theme="0" tint="-4.9989318521683403E-2"/>
        </patternFill>
      </fill>
    </dxf>
    <dxf>
      <fill>
        <patternFill>
          <bgColor theme="5" tint="0.79998168889431442"/>
        </patternFill>
      </fill>
    </dxf>
    <dxf>
      <fill>
        <patternFill patternType="darkUp">
          <fgColor rgb="FFE2EFDA"/>
          <bgColor auto="1"/>
        </patternFill>
      </fill>
      <border>
        <left style="thin">
          <color rgb="FF92D050"/>
        </left>
        <right style="thin">
          <color rgb="FF92D050"/>
        </right>
        <top style="thin">
          <color rgb="FF92D050"/>
        </top>
        <bottom style="thin">
          <color rgb="FF92D050"/>
        </bottom>
      </border>
    </dxf>
    <dxf>
      <fill>
        <patternFill patternType="darkUp">
          <fgColor rgb="FFE2EFDA"/>
          <bgColor auto="1"/>
        </patternFill>
      </fill>
      <border>
        <left style="thin">
          <color rgb="FF92D050"/>
        </left>
        <right style="thin">
          <color rgb="FF92D050"/>
        </right>
        <top style="thin">
          <color rgb="FF92D050"/>
        </top>
        <bottom style="thin">
          <color rgb="FF92D050"/>
        </bottom>
      </border>
    </dxf>
    <dxf>
      <fill>
        <patternFill>
          <bgColor theme="5" tint="0.79998168889431442"/>
        </patternFill>
      </fill>
    </dxf>
    <dxf>
      <fill>
        <patternFill patternType="darkUp">
          <fgColor theme="5" tint="0.79998168889431442"/>
          <bgColor auto="1"/>
        </patternFill>
      </fill>
      <border>
        <left style="thin">
          <color theme="5" tint="0.39994506668294322"/>
        </left>
        <right style="thin">
          <color theme="5" tint="0.39994506668294322"/>
        </right>
        <top style="thin">
          <color theme="5" tint="0.39994506668294322"/>
        </top>
        <bottom style="thin">
          <color theme="5" tint="0.39994506668294322"/>
        </bottom>
      </border>
    </dxf>
    <dxf>
      <fill>
        <patternFill patternType="darkUp">
          <fgColor theme="5" tint="0.79998168889431442"/>
          <bgColor auto="1"/>
        </patternFill>
      </fill>
      <border>
        <left style="thin">
          <color theme="5" tint="0.39994506668294322"/>
        </left>
        <right style="thin">
          <color theme="5" tint="0.39994506668294322"/>
        </right>
        <top style="thin">
          <color theme="5" tint="0.39994506668294322"/>
        </top>
        <bottom style="thin">
          <color theme="5" tint="0.39994506668294322"/>
        </bottom>
      </border>
    </dxf>
    <dxf>
      <fill>
        <patternFill patternType="darkUp">
          <fgColor rgb="FFE2EFDA"/>
          <bgColor auto="1"/>
        </patternFill>
      </fill>
      <border>
        <left style="thin">
          <color rgb="FF92D050"/>
        </left>
        <right style="thin">
          <color rgb="FF92D050"/>
        </right>
        <top style="thin">
          <color rgb="FF92D050"/>
        </top>
        <bottom style="thin">
          <color rgb="FF92D050"/>
        </bottom>
      </border>
    </dxf>
    <dxf>
      <fill>
        <patternFill patternType="darkUp">
          <fgColor theme="5" tint="0.79998168889431442"/>
          <bgColor auto="1"/>
        </patternFill>
      </fill>
      <border>
        <left style="thin">
          <color theme="5" tint="0.39994506668294322"/>
        </left>
        <right style="thin">
          <color theme="5" tint="0.39994506668294322"/>
        </right>
        <top style="thin">
          <color theme="5" tint="0.39994506668294322"/>
        </top>
        <bottom style="thin">
          <color theme="5" tint="0.39994506668294322"/>
        </bottom>
      </border>
    </dxf>
    <dxf>
      <fill>
        <patternFill patternType="darkUp">
          <fgColor rgb="FFE2EFDA"/>
          <bgColor auto="1"/>
        </patternFill>
      </fill>
      <border>
        <left style="thin">
          <color rgb="FF92D050"/>
        </left>
        <right style="thin">
          <color rgb="FF92D050"/>
        </right>
        <top style="thin">
          <color rgb="FF92D050"/>
        </top>
        <bottom style="thin">
          <color rgb="FF92D050"/>
        </bottom>
      </border>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ont>
        <color rgb="FFFF0000"/>
      </font>
    </dxf>
    <dxf>
      <font>
        <color rgb="FF00B050"/>
      </font>
    </dxf>
    <dxf>
      <font>
        <b/>
        <i val="0"/>
        <color rgb="FFFF0000"/>
      </font>
    </dxf>
    <dxf>
      <fill>
        <patternFill patternType="none">
          <bgColor auto="1"/>
        </patternFill>
      </fill>
    </dxf>
    <dxf>
      <fill>
        <patternFill>
          <bgColor rgb="FFFF0000"/>
        </patternFill>
      </fill>
    </dxf>
    <dxf>
      <fill>
        <patternFill>
          <bgColor rgb="FFFFFF00"/>
        </patternFill>
      </fill>
    </dxf>
    <dxf>
      <fill>
        <patternFill>
          <bgColor rgb="FFFF0000"/>
        </patternFill>
      </fill>
    </dxf>
    <dxf>
      <fill>
        <patternFill>
          <bgColor theme="0" tint="-4.9989318521683403E-2"/>
        </patternFill>
      </fill>
    </dxf>
    <dxf>
      <fill>
        <patternFill>
          <bgColor rgb="FFFFFF00"/>
        </patternFill>
      </fill>
    </dxf>
    <dxf>
      <fill>
        <patternFill>
          <bgColor rgb="FFFF0000"/>
        </patternFill>
      </fill>
    </dxf>
    <dxf>
      <fill>
        <patternFill>
          <bgColor theme="0" tint="-4.9989318521683403E-2"/>
        </patternFill>
      </fill>
    </dxf>
    <dxf>
      <fill>
        <patternFill>
          <bgColor theme="0"/>
        </patternFill>
      </fill>
    </dxf>
    <dxf>
      <fill>
        <patternFill>
          <bgColor rgb="FFFF0000"/>
        </patternFill>
      </fill>
    </dxf>
    <dxf>
      <fill>
        <patternFill>
          <bgColor rgb="FF99CCFF"/>
        </patternFill>
      </fill>
    </dxf>
    <dxf>
      <fill>
        <patternFill>
          <bgColor theme="0" tint="-4.9989318521683403E-2"/>
        </patternFill>
      </fill>
    </dxf>
    <dxf>
      <font>
        <b/>
        <i val="0"/>
        <color rgb="FFFF0000"/>
      </font>
    </dxf>
    <dxf>
      <font>
        <b/>
        <i val="0"/>
        <color rgb="FFFF0000"/>
      </font>
    </dxf>
    <dxf>
      <fill>
        <patternFill>
          <bgColor rgb="FFFF0000"/>
        </patternFill>
      </fill>
    </dxf>
    <dxf>
      <fill>
        <patternFill>
          <bgColor theme="0" tint="-4.9989318521683403E-2"/>
        </patternFill>
      </fill>
    </dxf>
    <dxf>
      <fill>
        <patternFill>
          <bgColor rgb="FF99CCFF"/>
        </patternFill>
      </fill>
    </dxf>
    <dxf>
      <fill>
        <patternFill>
          <bgColor theme="0" tint="-4.9989318521683403E-2"/>
        </patternFill>
      </fill>
    </dxf>
    <dxf>
      <fill>
        <patternFill>
          <bgColor rgb="FFFF0000"/>
        </patternFill>
      </fill>
    </dxf>
    <dxf>
      <fill>
        <patternFill>
          <bgColor rgb="FF99CCFF"/>
        </patternFill>
      </fill>
    </dxf>
    <dxf>
      <fill>
        <patternFill>
          <bgColor theme="0" tint="-4.9989318521683403E-2"/>
        </patternFill>
      </fill>
    </dxf>
    <dxf>
      <fill>
        <patternFill>
          <bgColor rgb="FF99CCFF"/>
        </patternFill>
      </fill>
    </dxf>
    <dxf>
      <fill>
        <patternFill>
          <bgColor theme="0" tint="-4.9989318521683403E-2"/>
        </patternFill>
      </fill>
    </dxf>
    <dxf>
      <fill>
        <patternFill>
          <bgColor theme="0" tint="-4.9989318521683403E-2"/>
        </patternFill>
      </fill>
    </dxf>
    <dxf>
      <fill>
        <patternFill>
          <bgColor rgb="FFE1F0FF"/>
        </patternFill>
      </fill>
    </dxf>
    <dxf>
      <fill>
        <patternFill>
          <bgColor rgb="FF99CCFF"/>
        </patternFill>
      </fill>
    </dxf>
    <dxf>
      <font>
        <color theme="0" tint="-0.499984740745262"/>
      </font>
      <fill>
        <patternFill>
          <bgColor theme="0" tint="-4.9989318521683403E-2"/>
        </patternFill>
      </fill>
    </dxf>
    <dxf>
      <fill>
        <patternFill>
          <bgColor theme="9" tint="0.79998168889431442"/>
        </patternFill>
      </fill>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FF0000"/>
        </patternFill>
      </fill>
    </dxf>
    <dxf>
      <fill>
        <patternFill>
          <bgColor theme="0" tint="-4.9989318521683403E-2"/>
        </patternFill>
      </fill>
    </dxf>
    <dxf>
      <fill>
        <patternFill>
          <bgColor rgb="FFFFFF00"/>
        </patternFill>
      </fill>
    </dxf>
    <dxf>
      <fill>
        <patternFill>
          <bgColor rgb="FFFF0000"/>
        </patternFill>
      </fill>
    </dxf>
    <dxf>
      <fill>
        <patternFill>
          <bgColor theme="0" tint="-4.9989318521683403E-2"/>
        </patternFill>
      </fill>
    </dxf>
    <dxf>
      <fill>
        <patternFill>
          <bgColor rgb="FFFF0000"/>
        </patternFill>
      </fill>
    </dxf>
    <dxf>
      <fill>
        <patternFill>
          <bgColor theme="0" tint="-4.9989318521683403E-2"/>
        </patternFill>
      </fill>
    </dxf>
    <dxf>
      <fill>
        <patternFill>
          <bgColor rgb="FFFFFF00"/>
        </patternFill>
      </fill>
    </dxf>
    <dxf>
      <fill>
        <patternFill>
          <bgColor rgb="FFFF0000"/>
        </patternFill>
      </fill>
    </dxf>
    <dxf>
      <fill>
        <patternFill>
          <bgColor theme="0" tint="-4.9989318521683403E-2"/>
        </patternFill>
      </fill>
    </dxf>
    <dxf>
      <font>
        <b/>
        <i val="0"/>
        <color rgb="FFFF0000"/>
      </font>
    </dxf>
    <dxf>
      <fill>
        <patternFill>
          <bgColor rgb="FFFFFF00"/>
        </patternFill>
      </fill>
    </dxf>
    <dxf>
      <fill>
        <patternFill>
          <bgColor rgb="FFFF0000"/>
        </patternFill>
      </fill>
    </dxf>
    <dxf>
      <fill>
        <patternFill>
          <bgColor theme="0" tint="-4.9989318521683403E-2"/>
        </patternFill>
      </fill>
    </dxf>
    <dxf>
      <fill>
        <patternFill>
          <bgColor theme="0" tint="-4.9989318521683403E-2"/>
        </patternFill>
      </fill>
    </dxf>
    <dxf>
      <fill>
        <patternFill>
          <bgColor rgb="FF99CCFF"/>
        </patternFill>
      </fill>
    </dxf>
    <dxf>
      <fill>
        <patternFill>
          <bgColor rgb="FFFF0000"/>
        </patternFill>
      </fill>
    </dxf>
    <dxf>
      <fill>
        <patternFill>
          <bgColor rgb="FFFFFF00"/>
        </patternFill>
      </fill>
    </dxf>
    <dxf>
      <fill>
        <patternFill>
          <bgColor theme="0" tint="-4.9989318521683403E-2"/>
        </patternFill>
      </fill>
    </dxf>
    <dxf>
      <fill>
        <patternFill>
          <bgColor rgb="FFFFFF00"/>
        </patternFill>
      </fill>
    </dxf>
    <dxf>
      <fill>
        <patternFill>
          <bgColor rgb="FFFF0000"/>
        </patternFill>
      </fill>
    </dxf>
    <dxf>
      <fill>
        <patternFill>
          <bgColor theme="0" tint="-4.9989318521683403E-2"/>
        </patternFill>
      </fill>
    </dxf>
    <dxf>
      <fill>
        <patternFill>
          <bgColor rgb="FF99CCFF"/>
        </patternFill>
      </fill>
    </dxf>
    <dxf>
      <fill>
        <patternFill>
          <bgColor rgb="FFE1F0FF"/>
        </patternFill>
      </fill>
    </dxf>
    <dxf>
      <fill>
        <patternFill>
          <bgColor rgb="FF99CCFF"/>
        </patternFill>
      </fill>
    </dxf>
    <dxf>
      <alignment horizontal="general" vertical="bottom" textRotation="0" wrapText="1" indent="0" justifyLastLine="0" shrinkToFit="0" readingOrder="0"/>
    </dxf>
    <dxf>
      <numFmt numFmtId="19" formatCode="m/d/yyyy"/>
    </dxf>
  </dxfs>
  <tableStyles count="0" defaultTableStyle="TableStyleMedium2" defaultPivotStyle="PivotStyleLight16"/>
  <colors>
    <mruColors>
      <color rgb="FFB500FF"/>
      <color rgb="FF005757"/>
      <color rgb="FF002C2C"/>
      <color rgb="FF99CCFF"/>
      <color rgb="FFE1F0FF"/>
      <color rgb="FFCCECFF"/>
      <color rgb="FFE2EFDA"/>
      <color rgb="FFEEF4E8"/>
      <color rgb="FFF9FBF7"/>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Panel Loading Calculations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3419120984913478E-2"/>
          <c:y val="0.11092713906167503"/>
          <c:w val="0.8376892378865769"/>
          <c:h val="0.66753743979043045"/>
        </c:manualLayout>
      </c:layout>
      <c:barChart>
        <c:barDir val="col"/>
        <c:grouping val="stacked"/>
        <c:varyColors val="0"/>
        <c:ser>
          <c:idx val="2"/>
          <c:order val="2"/>
          <c:tx>
            <c:strRef>
              <c:f>'Panel Calc Resources'!$F$6</c:f>
              <c:strCache>
                <c:ptCount val="1"/>
                <c:pt idx="0">
                  <c:v>Fixed</c:v>
                </c:pt>
              </c:strCache>
            </c:strRef>
          </c:tx>
          <c:spPr>
            <a:solidFill>
              <a:schemeClr val="bg1">
                <a:lumMod val="85000"/>
              </a:schemeClr>
            </a:solidFill>
            <a:ln w="19050">
              <a:solidFill>
                <a:schemeClr val="bg1">
                  <a:lumMod val="50000"/>
                </a:schemeClr>
              </a:solidFill>
            </a:ln>
            <a:effectLst/>
          </c:spPr>
          <c:invertIfNegative val="0"/>
          <c:cat>
            <c:strRef>
              <c:f>'Panel Calc Resources'!$A$7:$A$12</c:f>
              <c:strCache>
                <c:ptCount val="6"/>
                <c:pt idx="1">
                  <c:v>Baseline</c:v>
                </c:pt>
                <c:pt idx="2">
                  <c:v>Electrification Upgrades</c:v>
                </c:pt>
                <c:pt idx="3">
                  <c:v>Low Power Appliances</c:v>
                </c:pt>
                <c:pt idx="4">
                  <c:v>Right Size HVAC</c:v>
                </c:pt>
                <c:pt idx="5">
                  <c:v>No Load Mgmt Selected</c:v>
                </c:pt>
              </c:strCache>
            </c:strRef>
          </c:cat>
          <c:val>
            <c:numRef>
              <c:f>'Panel Calc Resources'!$F$7:$F$12</c:f>
              <c:numCache>
                <c:formatCode>0.0</c:formatCode>
                <c:ptCount val="6"/>
                <c:pt idx="1">
                  <c:v>42.666666666666664</c:v>
                </c:pt>
                <c:pt idx="2">
                  <c:v>42.666666666666664</c:v>
                </c:pt>
                <c:pt idx="3">
                  <c:v>42.666666666666664</c:v>
                </c:pt>
                <c:pt idx="4">
                  <c:v>42.666666666666664</c:v>
                </c:pt>
                <c:pt idx="5">
                  <c:v>0</c:v>
                </c:pt>
              </c:numCache>
            </c:numRef>
          </c:val>
          <c:extLst>
            <c:ext xmlns:c16="http://schemas.microsoft.com/office/drawing/2014/chart" uri="{C3380CC4-5D6E-409C-BE32-E72D297353CC}">
              <c16:uniqueId val="{00000002-AA5F-4773-9906-784DE0A86B25}"/>
            </c:ext>
          </c:extLst>
        </c:ser>
        <c:ser>
          <c:idx val="3"/>
          <c:order val="3"/>
          <c:tx>
            <c:strRef>
              <c:f>'Panel Calc Resources'!$G$6</c:f>
              <c:strCache>
                <c:ptCount val="1"/>
                <c:pt idx="0">
                  <c:v>Variable</c:v>
                </c:pt>
              </c:strCache>
            </c:strRef>
          </c:tx>
          <c:spPr>
            <a:solidFill>
              <a:schemeClr val="accent4">
                <a:lumMod val="40000"/>
                <a:lumOff val="60000"/>
              </a:schemeClr>
            </a:solidFill>
            <a:ln w="19050">
              <a:solidFill>
                <a:schemeClr val="accent4">
                  <a:lumMod val="75000"/>
                </a:schemeClr>
              </a:solidFill>
            </a:ln>
            <a:effectLst/>
          </c:spPr>
          <c:invertIfNegative val="0"/>
          <c:cat>
            <c:strRef>
              <c:f>'Panel Calc Resources'!$A$7:$A$12</c:f>
              <c:strCache>
                <c:ptCount val="6"/>
                <c:pt idx="1">
                  <c:v>Baseline</c:v>
                </c:pt>
                <c:pt idx="2">
                  <c:v>Electrification Upgrades</c:v>
                </c:pt>
                <c:pt idx="3">
                  <c:v>Low Power Appliances</c:v>
                </c:pt>
                <c:pt idx="4">
                  <c:v>Right Size HVAC</c:v>
                </c:pt>
                <c:pt idx="5">
                  <c:v>No Load Mgmt Selected</c:v>
                </c:pt>
              </c:strCache>
            </c:strRef>
          </c:cat>
          <c:val>
            <c:numRef>
              <c:f>'Panel Calc Resources'!$G$7:$G$12</c:f>
              <c:numCache>
                <c:formatCode>0.0</c:formatCode>
                <c:ptCount val="6"/>
                <c:pt idx="1">
                  <c:v>42.408333333333331</c:v>
                </c:pt>
                <c:pt idx="2">
                  <c:v>57.333333333333329</c:v>
                </c:pt>
                <c:pt idx="3">
                  <c:v>57.333333333333329</c:v>
                </c:pt>
                <c:pt idx="4">
                  <c:v>57.333333333333329</c:v>
                </c:pt>
                <c:pt idx="5">
                  <c:v>0</c:v>
                </c:pt>
              </c:numCache>
            </c:numRef>
          </c:val>
          <c:extLst>
            <c:ext xmlns:c16="http://schemas.microsoft.com/office/drawing/2014/chart" uri="{C3380CC4-5D6E-409C-BE32-E72D297353CC}">
              <c16:uniqueId val="{00000003-AA5F-4773-9906-784DE0A86B25}"/>
            </c:ext>
          </c:extLst>
        </c:ser>
        <c:ser>
          <c:idx val="4"/>
          <c:order val="4"/>
          <c:tx>
            <c:strRef>
              <c:f>'Panel Calc Resources'!$H$6</c:f>
              <c:strCache>
                <c:ptCount val="1"/>
                <c:pt idx="0">
                  <c:v>Available</c:v>
                </c:pt>
              </c:strCache>
            </c:strRef>
          </c:tx>
          <c:spPr>
            <a:solidFill>
              <a:schemeClr val="accent6">
                <a:lumMod val="40000"/>
                <a:lumOff val="60000"/>
              </a:schemeClr>
            </a:solidFill>
            <a:ln w="19050">
              <a:solidFill>
                <a:schemeClr val="accent6"/>
              </a:solidFill>
            </a:ln>
            <a:effectLst/>
          </c:spPr>
          <c:invertIfNegative val="0"/>
          <c:cat>
            <c:strRef>
              <c:f>'Panel Calc Resources'!$A$7:$A$12</c:f>
              <c:strCache>
                <c:ptCount val="6"/>
                <c:pt idx="1">
                  <c:v>Baseline</c:v>
                </c:pt>
                <c:pt idx="2">
                  <c:v>Electrification Upgrades</c:v>
                </c:pt>
                <c:pt idx="3">
                  <c:v>Low Power Appliances</c:v>
                </c:pt>
                <c:pt idx="4">
                  <c:v>Right Size HVAC</c:v>
                </c:pt>
                <c:pt idx="5">
                  <c:v>No Load Mgmt Selected</c:v>
                </c:pt>
              </c:strCache>
            </c:strRef>
          </c:cat>
          <c:val>
            <c:numRef>
              <c:f>'Panel Calc Resources'!$H$7:$H$12</c:f>
              <c:numCache>
                <c:formatCode>0.0</c:formatCode>
                <c:ptCount val="6"/>
                <c:pt idx="1">
                  <c:v>14.925000000000001</c:v>
                </c:pt>
                <c:pt idx="2">
                  <c:v>0</c:v>
                </c:pt>
                <c:pt idx="3">
                  <c:v>0</c:v>
                </c:pt>
                <c:pt idx="4">
                  <c:v>0</c:v>
                </c:pt>
                <c:pt idx="5">
                  <c:v>0</c:v>
                </c:pt>
              </c:numCache>
            </c:numRef>
          </c:val>
          <c:extLst>
            <c:ext xmlns:c16="http://schemas.microsoft.com/office/drawing/2014/chart" uri="{C3380CC4-5D6E-409C-BE32-E72D297353CC}">
              <c16:uniqueId val="{00000004-AA5F-4773-9906-784DE0A86B25}"/>
            </c:ext>
          </c:extLst>
        </c:ser>
        <c:ser>
          <c:idx val="5"/>
          <c:order val="5"/>
          <c:tx>
            <c:strRef>
              <c:f>'Panel Calc Resources'!$I$6</c:f>
              <c:strCache>
                <c:ptCount val="1"/>
                <c:pt idx="0">
                  <c:v>Over Panel Rtg.</c:v>
                </c:pt>
              </c:strCache>
            </c:strRef>
          </c:tx>
          <c:spPr>
            <a:solidFill>
              <a:srgbClr val="FFA3A3"/>
            </a:solidFill>
            <a:ln w="19050">
              <a:solidFill>
                <a:srgbClr val="FF0000"/>
              </a:solidFill>
            </a:ln>
            <a:effectLst/>
          </c:spPr>
          <c:invertIfNegative val="0"/>
          <c:cat>
            <c:strRef>
              <c:f>'Panel Calc Resources'!$A$7:$A$12</c:f>
              <c:strCache>
                <c:ptCount val="6"/>
                <c:pt idx="1">
                  <c:v>Baseline</c:v>
                </c:pt>
                <c:pt idx="2">
                  <c:v>Electrification Upgrades</c:v>
                </c:pt>
                <c:pt idx="3">
                  <c:v>Low Power Appliances</c:v>
                </c:pt>
                <c:pt idx="4">
                  <c:v>Right Size HVAC</c:v>
                </c:pt>
                <c:pt idx="5">
                  <c:v>No Load Mgmt Selected</c:v>
                </c:pt>
              </c:strCache>
            </c:strRef>
          </c:cat>
          <c:val>
            <c:numRef>
              <c:f>'Panel Calc Resources'!$I$7:$I$12</c:f>
              <c:numCache>
                <c:formatCode>0.0</c:formatCode>
                <c:ptCount val="6"/>
                <c:pt idx="1">
                  <c:v>0</c:v>
                </c:pt>
                <c:pt idx="2">
                  <c:v>18.966666666666665</c:v>
                </c:pt>
                <c:pt idx="3">
                  <c:v>18.966666666666665</c:v>
                </c:pt>
                <c:pt idx="4">
                  <c:v>18.966666666666665</c:v>
                </c:pt>
                <c:pt idx="5">
                  <c:v>0</c:v>
                </c:pt>
              </c:numCache>
            </c:numRef>
          </c:val>
          <c:extLst>
            <c:ext xmlns:c16="http://schemas.microsoft.com/office/drawing/2014/chart" uri="{C3380CC4-5D6E-409C-BE32-E72D297353CC}">
              <c16:uniqueId val="{00000005-AA5F-4773-9906-784DE0A86B25}"/>
            </c:ext>
          </c:extLst>
        </c:ser>
        <c:dLbls>
          <c:showLegendKey val="0"/>
          <c:showVal val="0"/>
          <c:showCatName val="0"/>
          <c:showSerName val="0"/>
          <c:showPercent val="0"/>
          <c:showBubbleSize val="0"/>
        </c:dLbls>
        <c:gapWidth val="20"/>
        <c:overlap val="100"/>
        <c:axId val="1975638624"/>
        <c:axId val="696264864"/>
      </c:barChart>
      <c:lineChart>
        <c:grouping val="standard"/>
        <c:varyColors val="0"/>
        <c:ser>
          <c:idx val="0"/>
          <c:order val="0"/>
          <c:tx>
            <c:strRef>
              <c:f>'Panel Calc Resources'!$B$6</c:f>
              <c:strCache>
                <c:ptCount val="1"/>
                <c:pt idx="0">
                  <c:v>Ex Panel Rtg</c:v>
                </c:pt>
              </c:strCache>
            </c:strRef>
          </c:tx>
          <c:spPr>
            <a:ln w="22225" cap="rnd">
              <a:solidFill>
                <a:schemeClr val="tx1"/>
              </a:solidFill>
              <a:prstDash val="dash"/>
              <a:round/>
            </a:ln>
            <a:effectLst/>
          </c:spPr>
          <c:marker>
            <c:symbol val="none"/>
          </c:marker>
          <c:cat>
            <c:strRef>
              <c:f>'Panel Calc Resources'!$A$7:$A$12</c:f>
              <c:strCache>
                <c:ptCount val="6"/>
                <c:pt idx="1">
                  <c:v>Baseline</c:v>
                </c:pt>
                <c:pt idx="2">
                  <c:v>Electrification Upgrades</c:v>
                </c:pt>
                <c:pt idx="3">
                  <c:v>Low Power Appliances</c:v>
                </c:pt>
                <c:pt idx="4">
                  <c:v>Right Size HVAC</c:v>
                </c:pt>
                <c:pt idx="5">
                  <c:v>No Load Mgmt Selected</c:v>
                </c:pt>
              </c:strCache>
            </c:strRef>
          </c:cat>
          <c:val>
            <c:numRef>
              <c:f>'Panel Calc Resources'!$B$7:$B$13</c:f>
              <c:numCache>
                <c:formatCode>General</c:formatCode>
                <c:ptCount val="7"/>
                <c:pt idx="0">
                  <c:v>100</c:v>
                </c:pt>
                <c:pt idx="1">
                  <c:v>100</c:v>
                </c:pt>
                <c:pt idx="2">
                  <c:v>100</c:v>
                </c:pt>
                <c:pt idx="3">
                  <c:v>100</c:v>
                </c:pt>
                <c:pt idx="4">
                  <c:v>100</c:v>
                </c:pt>
                <c:pt idx="5">
                  <c:v>100</c:v>
                </c:pt>
                <c:pt idx="6">
                  <c:v>100</c:v>
                </c:pt>
              </c:numCache>
            </c:numRef>
          </c:val>
          <c:smooth val="0"/>
          <c:extLst>
            <c:ext xmlns:c16="http://schemas.microsoft.com/office/drawing/2014/chart" uri="{C3380CC4-5D6E-409C-BE32-E72D297353CC}">
              <c16:uniqueId val="{00000000-AA5F-4773-9906-784DE0A86B25}"/>
            </c:ext>
          </c:extLst>
        </c:ser>
        <c:ser>
          <c:idx val="1"/>
          <c:order val="1"/>
          <c:tx>
            <c:strRef>
              <c:f>'Panel Calc Resources'!$C$6</c:f>
              <c:strCache>
                <c:ptCount val="1"/>
                <c:pt idx="0">
                  <c:v>New Elect. Panel Size</c:v>
                </c:pt>
              </c:strCache>
            </c:strRef>
          </c:tx>
          <c:spPr>
            <a:ln w="22225" cap="rnd">
              <a:solidFill>
                <a:srgbClr val="FF0000"/>
              </a:solidFill>
              <a:prstDash val="dash"/>
              <a:round/>
            </a:ln>
            <a:effectLst/>
          </c:spPr>
          <c:marker>
            <c:symbol val="none"/>
          </c:marker>
          <c:cat>
            <c:strRef>
              <c:f>'Panel Calc Resources'!$A$7:$A$12</c:f>
              <c:strCache>
                <c:ptCount val="6"/>
                <c:pt idx="1">
                  <c:v>Baseline</c:v>
                </c:pt>
                <c:pt idx="2">
                  <c:v>Electrification Upgrades</c:v>
                </c:pt>
                <c:pt idx="3">
                  <c:v>Low Power Appliances</c:v>
                </c:pt>
                <c:pt idx="4">
                  <c:v>Right Size HVAC</c:v>
                </c:pt>
                <c:pt idx="5">
                  <c:v>No Load Mgmt Selected</c:v>
                </c:pt>
              </c:strCache>
            </c:strRef>
          </c:cat>
          <c:val>
            <c:numRef>
              <c:f>'Panel Calc Resources'!$C$7:$C$13</c:f>
              <c:numCache>
                <c:formatCode>General</c:formatCode>
                <c:ptCount val="7"/>
                <c:pt idx="0">
                  <c:v>125</c:v>
                </c:pt>
                <c:pt idx="1">
                  <c:v>125</c:v>
                </c:pt>
                <c:pt idx="2">
                  <c:v>125</c:v>
                </c:pt>
                <c:pt idx="3">
                  <c:v>125</c:v>
                </c:pt>
                <c:pt idx="4">
                  <c:v>125</c:v>
                </c:pt>
                <c:pt idx="5">
                  <c:v>125</c:v>
                </c:pt>
                <c:pt idx="6">
                  <c:v>125</c:v>
                </c:pt>
              </c:numCache>
            </c:numRef>
          </c:val>
          <c:smooth val="0"/>
          <c:extLst>
            <c:ext xmlns:c16="http://schemas.microsoft.com/office/drawing/2014/chart" uri="{C3380CC4-5D6E-409C-BE32-E72D297353CC}">
              <c16:uniqueId val="{00000001-AA5F-4773-9906-784DE0A86B25}"/>
            </c:ext>
          </c:extLst>
        </c:ser>
        <c:dLbls>
          <c:showLegendKey val="0"/>
          <c:showVal val="0"/>
          <c:showCatName val="0"/>
          <c:showSerName val="0"/>
          <c:showPercent val="0"/>
          <c:showBubbleSize val="0"/>
        </c:dLbls>
        <c:marker val="1"/>
        <c:smooth val="0"/>
        <c:axId val="1975638624"/>
        <c:axId val="696264864"/>
        <c:extLst>
          <c:ext xmlns:c15="http://schemas.microsoft.com/office/drawing/2012/chart" uri="{02D57815-91ED-43cb-92C2-25804820EDAC}">
            <c15:filteredLineSeries>
              <c15:ser>
                <c:idx val="6"/>
                <c:order val="6"/>
                <c:tx>
                  <c:strRef>
                    <c:extLst>
                      <c:ext uri="{02D57815-91ED-43cb-92C2-25804820EDAC}">
                        <c15:formulaRef>
                          <c15:sqref>'Panel Calc Resources'!$D$6</c15:sqref>
                        </c15:formulaRef>
                      </c:ext>
                    </c:extLst>
                    <c:strCache>
                      <c:ptCount val="1"/>
                      <c:pt idx="0">
                        <c:v>Opt2</c:v>
                      </c:pt>
                    </c:strCache>
                  </c:strRef>
                </c:tx>
                <c:spPr>
                  <a:ln w="28575" cap="rnd">
                    <a:solidFill>
                      <a:srgbClr val="FF7C80"/>
                    </a:solidFill>
                    <a:prstDash val="dash"/>
                    <a:round/>
                  </a:ln>
                  <a:effectLst/>
                </c:spPr>
                <c:marker>
                  <c:symbol val="none"/>
                </c:marker>
                <c:val>
                  <c:numRef>
                    <c:extLst>
                      <c:ext uri="{02D57815-91ED-43cb-92C2-25804820EDAC}">
                        <c15:formulaRef>
                          <c15:sqref>'Panel Calc Resources'!$D$7:$D$13</c15:sqref>
                        </c15:formulaRef>
                      </c:ext>
                    </c:extLst>
                    <c:numCache>
                      <c:formatCode>General</c:formatCode>
                      <c:ptCount val="7"/>
                      <c:pt idx="0">
                        <c:v>125</c:v>
                      </c:pt>
                      <c:pt idx="1">
                        <c:v>125</c:v>
                      </c:pt>
                      <c:pt idx="2">
                        <c:v>125</c:v>
                      </c:pt>
                      <c:pt idx="3">
                        <c:v>125</c:v>
                      </c:pt>
                      <c:pt idx="4">
                        <c:v>125</c:v>
                      </c:pt>
                      <c:pt idx="5">
                        <c:v>125</c:v>
                      </c:pt>
                      <c:pt idx="6">
                        <c:v>125</c:v>
                      </c:pt>
                    </c:numCache>
                  </c:numRef>
                </c:val>
                <c:smooth val="0"/>
                <c:extLst>
                  <c:ext xmlns:c16="http://schemas.microsoft.com/office/drawing/2014/chart" uri="{C3380CC4-5D6E-409C-BE32-E72D297353CC}">
                    <c16:uniqueId val="{00000006-AA5F-4773-9906-784DE0A86B25}"/>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'Panel Calc Resources'!$E$6</c15:sqref>
                        </c15:formulaRef>
                      </c:ext>
                    </c:extLst>
                    <c:strCache>
                      <c:ptCount val="1"/>
                      <c:pt idx="0">
                        <c:v>Opt3</c:v>
                      </c:pt>
                    </c:strCache>
                  </c:strRef>
                </c:tx>
                <c:spPr>
                  <a:ln w="28575" cap="rnd">
                    <a:solidFill>
                      <a:srgbClr val="FFC000"/>
                    </a:solidFill>
                    <a:prstDash val="dash"/>
                    <a:round/>
                  </a:ln>
                  <a:effectLst/>
                </c:spPr>
                <c:marker>
                  <c:symbol val="none"/>
                </c:marker>
                <c:val>
                  <c:numRef>
                    <c:extLst xmlns:c15="http://schemas.microsoft.com/office/drawing/2012/chart">
                      <c:ext xmlns:c15="http://schemas.microsoft.com/office/drawing/2012/chart" uri="{02D57815-91ED-43cb-92C2-25804820EDAC}">
                        <c15:formulaRef>
                          <c15:sqref>'Panel Calc Resources'!$E$7:$E$13</c15:sqref>
                        </c15:formulaRef>
                      </c:ext>
                    </c:extLst>
                    <c:numCache>
                      <c:formatCode>General</c:formatCode>
                      <c:ptCount val="7"/>
                      <c:pt idx="0">
                        <c:v>125</c:v>
                      </c:pt>
                      <c:pt idx="1">
                        <c:v>125</c:v>
                      </c:pt>
                      <c:pt idx="2">
                        <c:v>125</c:v>
                      </c:pt>
                      <c:pt idx="3">
                        <c:v>125</c:v>
                      </c:pt>
                      <c:pt idx="4">
                        <c:v>125</c:v>
                      </c:pt>
                      <c:pt idx="5">
                        <c:v>125</c:v>
                      </c:pt>
                      <c:pt idx="6">
                        <c:v>125</c:v>
                      </c:pt>
                    </c:numCache>
                  </c:numRef>
                </c:val>
                <c:smooth val="0"/>
                <c:extLst xmlns:c15="http://schemas.microsoft.com/office/drawing/2012/chart">
                  <c:ext xmlns:c16="http://schemas.microsoft.com/office/drawing/2014/chart" uri="{C3380CC4-5D6E-409C-BE32-E72D297353CC}">
                    <c16:uniqueId val="{00000007-AA5F-4773-9906-784DE0A86B25}"/>
                  </c:ext>
                </c:extLst>
              </c15:ser>
            </c15:filteredLineSeries>
          </c:ext>
        </c:extLst>
      </c:lineChart>
      <c:catAx>
        <c:axId val="1975638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6264864"/>
        <c:crosses val="autoZero"/>
        <c:auto val="1"/>
        <c:lblAlgn val="ctr"/>
        <c:lblOffset val="100"/>
        <c:noMultiLvlLbl val="0"/>
      </c:catAx>
      <c:valAx>
        <c:axId val="6962648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563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9525</xdr:colOff>
      <xdr:row>3</xdr:row>
      <xdr:rowOff>1</xdr:rowOff>
    </xdr:from>
    <xdr:to>
      <xdr:col>16</xdr:col>
      <xdr:colOff>83241</xdr:colOff>
      <xdr:row>21</xdr:row>
      <xdr:rowOff>1</xdr:rowOff>
    </xdr:to>
    <xdr:sp macro="" textlink="">
      <xdr:nvSpPr>
        <xdr:cNvPr id="3" name="TextBox 2">
          <a:extLst>
            <a:ext uri="{FF2B5EF4-FFF2-40B4-BE49-F238E27FC236}">
              <a16:creationId xmlns:a16="http://schemas.microsoft.com/office/drawing/2014/main" id="{FF57B8AA-14F0-4864-B542-37D55C4259C6}"/>
            </a:ext>
          </a:extLst>
        </xdr:cNvPr>
        <xdr:cNvSpPr txBox="1"/>
      </xdr:nvSpPr>
      <xdr:spPr>
        <a:xfrm>
          <a:off x="619125" y="190501"/>
          <a:ext cx="8779566" cy="3429000"/>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a:solidFill>
                <a:srgbClr val="005757"/>
              </a:solidFill>
              <a:latin typeface="Franklin Gothic Book" panose="020B0503020102020204" pitchFamily="34" charset="0"/>
            </a:rPr>
            <a:t>ABOUT     Revised 12082025,  second revision 012326</a:t>
          </a:r>
        </a:p>
        <a:p>
          <a:r>
            <a:rPr lang="en-US" sz="1100" b="0" i="0" u="none">
              <a:solidFill>
                <a:srgbClr val="005757"/>
              </a:solidFill>
              <a:latin typeface="Franklin Gothic Book" panose="020B0503020102020204" pitchFamily="34" charset="0"/>
            </a:rPr>
            <a:t>This tool was funded through the CalNEXT program, the California statewide electric emerging technologies</a:t>
          </a:r>
          <a:r>
            <a:rPr lang="en-US" sz="1100" b="0" i="0" u="none" baseline="0">
              <a:solidFill>
                <a:srgbClr val="005757"/>
              </a:solidFill>
              <a:latin typeface="Franklin Gothic Book" panose="020B0503020102020204" pitchFamily="34" charset="0"/>
            </a:rPr>
            <a:t> program.</a:t>
          </a:r>
          <a:r>
            <a:rPr lang="en-US" sz="1100" b="0" i="0" u="none">
              <a:solidFill>
                <a:srgbClr val="005757"/>
              </a:solidFill>
              <a:latin typeface="Franklin Gothic Book" panose="020B0503020102020204" pitchFamily="34" charset="0"/>
            </a:rPr>
            <a:t> TRC led the development</a:t>
          </a:r>
          <a:r>
            <a:rPr lang="en-US" sz="1100" b="0" i="0" u="none" baseline="0">
              <a:solidFill>
                <a:srgbClr val="005757"/>
              </a:solidFill>
              <a:latin typeface="Franklin Gothic Book" panose="020B0503020102020204" pitchFamily="34" charset="0"/>
            </a:rPr>
            <a:t> of the tool</a:t>
          </a:r>
          <a:r>
            <a:rPr lang="en-US" sz="1100" b="0" i="0" u="none">
              <a:solidFill>
                <a:srgbClr val="005757"/>
              </a:solidFill>
              <a:latin typeface="Franklin Gothic Book" panose="020B0503020102020204" pitchFamily="34" charset="0"/>
            </a:rPr>
            <a:t>, in</a:t>
          </a:r>
          <a:r>
            <a:rPr lang="en-US" sz="1100" b="0" i="0" u="none" baseline="0">
              <a:solidFill>
                <a:srgbClr val="005757"/>
              </a:solidFill>
              <a:latin typeface="Franklin Gothic Book" panose="020B0503020102020204" pitchFamily="34" charset="0"/>
            </a:rPr>
            <a:t> collaboration with Build it Green and SPUR.</a:t>
          </a:r>
        </a:p>
        <a:p>
          <a:endParaRPr lang="en-US" sz="1100" b="0" i="0" u="none" baseline="0">
            <a:solidFill>
              <a:srgbClr val="005757"/>
            </a:solidFill>
            <a:latin typeface="Franklin Gothic Book" panose="020B0503020102020204" pitchFamily="34" charset="0"/>
          </a:endParaRPr>
        </a:p>
        <a:p>
          <a:r>
            <a:rPr lang="en-US" sz="1100" b="0" i="0" u="none" baseline="0">
              <a:solidFill>
                <a:srgbClr val="005757"/>
              </a:solidFill>
              <a:latin typeface="Franklin Gothic Book" panose="020B0503020102020204" pitchFamily="34" charset="0"/>
            </a:rPr>
            <a:t>For more information on background research and design of the tool, please see the Final CalNEXT report available here: [insert link to final posted report]</a:t>
          </a:r>
        </a:p>
        <a:p>
          <a:endParaRPr lang="en-US" sz="1100" b="0" i="0" u="none" baseline="0">
            <a:solidFill>
              <a:srgbClr val="005757"/>
            </a:solidFill>
            <a:latin typeface="Franklin Gothic Book" panose="020B0503020102020204" pitchFamily="34" charset="0"/>
          </a:endParaRPr>
        </a:p>
        <a:p>
          <a:r>
            <a:rPr lang="en-US" sz="1100" b="1" i="0" u="sng" baseline="0">
              <a:solidFill>
                <a:srgbClr val="005757"/>
              </a:solidFill>
              <a:latin typeface="Franklin Gothic Book" panose="020B0503020102020204" pitchFamily="34" charset="0"/>
            </a:rPr>
            <a:t>DISCLAIMER</a:t>
          </a:r>
        </a:p>
        <a:p>
          <a:r>
            <a:rPr lang="en-US" sz="1100" b="0" i="0" u="none">
              <a:solidFill>
                <a:srgbClr val="005757"/>
              </a:solidFill>
              <a:latin typeface="Franklin Gothic Book" panose="020B0503020102020204" pitchFamily="34" charset="0"/>
            </a:rPr>
            <a:t>The CalNEXT program is designed and implemented by Cohen Ventures, Inc., DBA Energy Solutions (“Energy Solutions”). Southern California Edison Company, on behalf of itself, Pacific Gas and Electric Company, and San Diego Gas &amp; Electric® Company (collectively, the “CA Electric IOUs”), has contracted with Energy Solutions for CalNEXT. CalNEXT is available in each of the CA Electric IOU’s service territories. Customers who participate in CalNEXT are under individual agreements between the customer and Energy Solutions or Energy Solutions’ subcontractors (Terms of Use). The CA Electric IOUs are not parties to, nor guarantors of, any Terms of Use with Energy Solutions. The CA Electric IOUs have no contractual obligation, directly or indirectly, to the customer. The CA Electric IOUs are not liable for any actions or inactions of Energy Solutions, or any distributor, vendor, installer, or manufacturer of product(s) offered through CalNEXT. The CA Electric IOUs do not recommend, endorse, qualify, guarantee, or make any representations or warranties (express or implied) regarding the findings, services, work, quality, financial stability, or performance of Energy Solutions or any of Energy Solutions’ distributors, contractors, subcontractors, installers of products, or any product brand listed on Energy Solutions’ website or provided, directly or indirectly, by Energy Solutions. If applicable, prior to entering into any Terms of Use, customers should thoroughly review the terms and conditions of such Terms of Use so they are fully informed of their rights and obligations under the Terms of Use, and should perform their own research and due diligence, and obtain multiple bids or quotes when seeking a contractor to perform work of any type.</a:t>
          </a:r>
        </a:p>
      </xdr:txBody>
    </xdr:sp>
    <xdr:clientData/>
  </xdr:twoCellAnchor>
  <xdr:twoCellAnchor editAs="oneCell">
    <xdr:from>
      <xdr:col>1</xdr:col>
      <xdr:colOff>47625</xdr:colOff>
      <xdr:row>22</xdr:row>
      <xdr:rowOff>104775</xdr:rowOff>
    </xdr:from>
    <xdr:to>
      <xdr:col>5</xdr:col>
      <xdr:colOff>501015</xdr:colOff>
      <xdr:row>27</xdr:row>
      <xdr:rowOff>79375</xdr:rowOff>
    </xdr:to>
    <xdr:pic>
      <xdr:nvPicPr>
        <xdr:cNvPr id="4" name="Picture 3" descr="Logo&#10;&#10;Description automatically generated">
          <a:extLst>
            <a:ext uri="{FF2B5EF4-FFF2-40B4-BE49-F238E27FC236}">
              <a16:creationId xmlns:a16="http://schemas.microsoft.com/office/drawing/2014/main" id="{DF8FFC1E-D8EE-56C9-E78E-B12B3B5FF6A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59" t="29383" r="2987" b="4016"/>
        <a:stretch/>
      </xdr:blipFill>
      <xdr:spPr bwMode="auto">
        <a:xfrm>
          <a:off x="657225" y="3914775"/>
          <a:ext cx="2453640" cy="927100"/>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133350</xdr:colOff>
      <xdr:row>56</xdr:row>
      <xdr:rowOff>228598</xdr:rowOff>
    </xdr:from>
    <xdr:to>
      <xdr:col>21</xdr:col>
      <xdr:colOff>438150</xdr:colOff>
      <xdr:row>65</xdr:row>
      <xdr:rowOff>19049</xdr:rowOff>
    </xdr:to>
    <xdr:sp macro="" textlink="">
      <xdr:nvSpPr>
        <xdr:cNvPr id="2" name="TextBox 1">
          <a:extLst>
            <a:ext uri="{FF2B5EF4-FFF2-40B4-BE49-F238E27FC236}">
              <a16:creationId xmlns:a16="http://schemas.microsoft.com/office/drawing/2014/main" id="{B254AD89-5BCE-589B-A6FE-494B02463AE6}"/>
            </a:ext>
          </a:extLst>
        </xdr:cNvPr>
        <xdr:cNvSpPr txBox="1"/>
      </xdr:nvSpPr>
      <xdr:spPr>
        <a:xfrm>
          <a:off x="10572750" y="11706223"/>
          <a:ext cx="5791200" cy="1809751"/>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rgbClr val="0070C0"/>
              </a:solidFill>
            </a:rPr>
            <a:t>The calculations for EV charger apply 1.0 and 1.25 coincidence</a:t>
          </a:r>
          <a:r>
            <a:rPr lang="en-US" sz="1100" i="1" baseline="0">
              <a:solidFill>
                <a:srgbClr val="0070C0"/>
              </a:solidFill>
            </a:rPr>
            <a:t> factors. </a:t>
          </a:r>
          <a:r>
            <a:rPr lang="en-US" sz="1100" i="1">
              <a:solidFill>
                <a:srgbClr val="0070C0"/>
              </a:solidFill>
            </a:rPr>
            <a:t>This is a conservative position for an existing conditions calculation based on NEC 220.83(A),</a:t>
          </a:r>
          <a:r>
            <a:rPr lang="en-US" sz="1100" i="1" baseline="0">
              <a:solidFill>
                <a:srgbClr val="0070C0"/>
              </a:solidFill>
            </a:rPr>
            <a:t> where the code is somewhat vague but it appears </a:t>
          </a:r>
          <a:r>
            <a:rPr lang="en-US" sz="1100" i="1">
              <a:solidFill>
                <a:srgbClr val="0070C0"/>
              </a:solidFill>
            </a:rPr>
            <a:t>these could be included in the 40% calc.  However,</a:t>
          </a:r>
          <a:r>
            <a:rPr lang="en-US" sz="1100" i="1" baseline="0">
              <a:solidFill>
                <a:srgbClr val="0070C0"/>
              </a:solidFill>
            </a:rPr>
            <a:t> since the existing HVAC (and presumably EV charger) could be getting upgraded and/or electrified, there will be increased load, so the new loads will be treated with these factors per NEC 220.83(B) and 625.14 and it seems fair that if there is existing loads in these categories, they be calculated with them as well.</a:t>
          </a:r>
        </a:p>
        <a:p>
          <a:endParaRPr lang="en-US" sz="1100" i="1" baseline="0">
            <a:solidFill>
              <a:srgbClr val="0070C0"/>
            </a:solidFill>
          </a:endParaRPr>
        </a:p>
        <a:p>
          <a:r>
            <a:rPr lang="en-US" sz="1100" i="1" baseline="0">
              <a:solidFill>
                <a:srgbClr val="0070C0"/>
              </a:solidFill>
            </a:rPr>
            <a:t>The EV Charger 1.25 CF factor comes from 625.14 as a continuous load. The remainede of the CF is 0.4 for notmal non-HVAC circuits</a:t>
          </a:r>
          <a:endParaRPr lang="en-US" sz="1100" i="1">
            <a:solidFill>
              <a:srgbClr val="0070C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12</xdr:col>
      <xdr:colOff>114300</xdr:colOff>
      <xdr:row>17</xdr:row>
      <xdr:rowOff>47626</xdr:rowOff>
    </xdr:from>
    <xdr:to>
      <xdr:col>18</xdr:col>
      <xdr:colOff>200025</xdr:colOff>
      <xdr:row>28</xdr:row>
      <xdr:rowOff>389827</xdr:rowOff>
    </xdr:to>
    <xdr:pic>
      <xdr:nvPicPr>
        <xdr:cNvPr id="2" name="Picture 1">
          <a:extLst>
            <a:ext uri="{FF2B5EF4-FFF2-40B4-BE49-F238E27FC236}">
              <a16:creationId xmlns:a16="http://schemas.microsoft.com/office/drawing/2014/main" id="{711159D9-32B9-9A15-6682-5B70E06506A2}"/>
            </a:ext>
          </a:extLst>
        </xdr:cNvPr>
        <xdr:cNvPicPr>
          <a:picLocks noChangeAspect="1"/>
        </xdr:cNvPicPr>
      </xdr:nvPicPr>
      <xdr:blipFill>
        <a:blip xmlns:r="http://schemas.openxmlformats.org/officeDocument/2006/relationships" r:embed="rId1"/>
        <a:stretch>
          <a:fillRect/>
        </a:stretch>
      </xdr:blipFill>
      <xdr:spPr>
        <a:xfrm>
          <a:off x="7858125" y="4143376"/>
          <a:ext cx="3962400" cy="2637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183873</xdr:colOff>
      <xdr:row>1</xdr:row>
      <xdr:rowOff>7452</xdr:rowOff>
    </xdr:from>
    <xdr:to>
      <xdr:col>14</xdr:col>
      <xdr:colOff>149087</xdr:colOff>
      <xdr:row>48</xdr:row>
      <xdr:rowOff>115957</xdr:rowOff>
    </xdr:to>
    <xdr:sp macro="" textlink="">
      <xdr:nvSpPr>
        <xdr:cNvPr id="2" name="TextBox 1">
          <a:extLst>
            <a:ext uri="{FF2B5EF4-FFF2-40B4-BE49-F238E27FC236}">
              <a16:creationId xmlns:a16="http://schemas.microsoft.com/office/drawing/2014/main" id="{D910C94E-C179-46EC-BEF8-0EDB7A934BDC}"/>
            </a:ext>
          </a:extLst>
        </xdr:cNvPr>
        <xdr:cNvSpPr txBox="1"/>
      </xdr:nvSpPr>
      <xdr:spPr>
        <a:xfrm>
          <a:off x="183873" y="197952"/>
          <a:ext cx="8148431" cy="10436918"/>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5757"/>
              </a:solidFill>
              <a:effectLst/>
              <a:latin typeface="Franklin Gothic Book" panose="020B0503020102020204" pitchFamily="34" charset="0"/>
              <a:ea typeface="+mn-ea"/>
              <a:cs typeface="+mn-cs"/>
            </a:rPr>
            <a:t>TOOL PURPOSE AND USERS:</a:t>
          </a:r>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This tool is designed for contractors, in collaboration with single family homeowners, to guide decision-making and strategies for home electrification projects while minimizing or avoiding the need to upgrade the electrical panel or service capacity. Homeowners should be guiding the electrification priorities for the project, and qualified contractors will need to verify the accuracy of information in the tool and the conditions at the project site. Standard practice electrification choices frequently require panel upgrades, but this tool will help identify opportunities to optimize electrification strategies to avoid unnecessary panel and service upgrades.</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The tool makes estimated National Electrical Code (NEC) load calculations to determine the possible need to upgrade the main electrical panel and service to the existing home, based on user inputs. If the initial inputs indicate a need to upgrade the panel, the tool provides three levels of optimization options that may allow for home electrification without a panel and service upgrade.</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Read through the recommended procedure below for more details, and </a:t>
          </a:r>
          <a:r>
            <a:rPr lang="en-US" sz="1100" b="1" i="1">
              <a:solidFill>
                <a:srgbClr val="005757"/>
              </a:solidFill>
              <a:effectLst/>
              <a:latin typeface="Franklin Gothic Book" panose="020B0503020102020204" pitchFamily="34" charset="0"/>
              <a:ea typeface="+mn-ea"/>
              <a:cs typeface="+mn-cs"/>
            </a:rPr>
            <a:t>review the guidance on each tab carefully</a:t>
          </a:r>
          <a:r>
            <a:rPr lang="en-US" sz="1100">
              <a:solidFill>
                <a:srgbClr val="005757"/>
              </a:solidFill>
              <a:effectLst/>
              <a:latin typeface="Franklin Gothic Book" panose="020B0503020102020204" pitchFamily="34" charset="0"/>
              <a:ea typeface="+mn-ea"/>
              <a:cs typeface="+mn-cs"/>
            </a:rPr>
            <a:t> to understand the potential compromises of the different options. Enter information in each tab as completely as possible, working through the tabs from left to right.</a:t>
          </a:r>
        </a:p>
        <a:p>
          <a:endParaRPr lang="en-US" sz="1100" b="1" u="sng">
            <a:solidFill>
              <a:srgbClr val="005757"/>
            </a:solidFill>
            <a:effectLst/>
            <a:latin typeface="Franklin Gothic Book" panose="020B0503020102020204" pitchFamily="34" charset="0"/>
            <a:ea typeface="+mn-ea"/>
            <a:cs typeface="+mn-cs"/>
          </a:endParaRPr>
        </a:p>
        <a:p>
          <a:r>
            <a:rPr lang="en-US" sz="1100" b="1" u="sng">
              <a:solidFill>
                <a:srgbClr val="005757"/>
              </a:solidFill>
              <a:effectLst/>
              <a:latin typeface="Franklin Gothic Book" panose="020B0503020102020204" pitchFamily="34" charset="0"/>
              <a:ea typeface="+mn-ea"/>
              <a:cs typeface="+mn-cs"/>
            </a:rPr>
            <a:t>RECOMMENDED PROCEDURE</a:t>
          </a:r>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1. Start from the blank template file for each new project. Create a new copy ("save as") of the tool file with a unique project name.</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2. </a:t>
          </a:r>
          <a:r>
            <a:rPr lang="en-US" sz="1100" b="1">
              <a:solidFill>
                <a:srgbClr val="005757"/>
              </a:solidFill>
              <a:effectLst/>
              <a:latin typeface="Franklin Gothic Book" panose="020B0503020102020204" pitchFamily="34" charset="0"/>
              <a:ea typeface="+mn-ea"/>
              <a:cs typeface="+mn-cs"/>
            </a:rPr>
            <a:t>"Property Information" tab</a:t>
          </a:r>
          <a:r>
            <a:rPr lang="en-US" sz="1100">
              <a:solidFill>
                <a:srgbClr val="005757"/>
              </a:solidFill>
              <a:effectLst/>
              <a:latin typeface="Franklin Gothic Book" panose="020B0503020102020204" pitchFamily="34" charset="0"/>
              <a:ea typeface="+mn-ea"/>
              <a:cs typeface="+mn-cs"/>
            </a:rPr>
            <a:t> - Enter basic property details on this tab. County, year of construction, square feet of living area, panel voltage rating, and existing main panel disconnect rating must be entered to accurately calculate default loads and panel results. Other inputs on this tab are optional. Review detailed guidance on the tab for more information.</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3. </a:t>
          </a:r>
          <a:r>
            <a:rPr lang="en-US" sz="1100" b="1">
              <a:solidFill>
                <a:srgbClr val="005757"/>
              </a:solidFill>
              <a:effectLst/>
              <a:latin typeface="Franklin Gothic Book" panose="020B0503020102020204" pitchFamily="34" charset="0"/>
              <a:ea typeface="+mn-ea"/>
              <a:cs typeface="+mn-cs"/>
            </a:rPr>
            <a:t>"Existing Systems and Loads" tab</a:t>
          </a:r>
          <a:r>
            <a:rPr lang="en-US" sz="1100">
              <a:solidFill>
                <a:srgbClr val="005757"/>
              </a:solidFill>
              <a:effectLst/>
              <a:latin typeface="Franklin Gothic Book" panose="020B0503020102020204" pitchFamily="34" charset="0"/>
              <a:ea typeface="+mn-ea"/>
              <a:cs typeface="+mn-cs"/>
            </a:rPr>
            <a:t> - Enter all existing building systems and loads in this tab. The tool will assume certain default values for HVAC and other building systems based on home characteristics and typical practice. Users should provide actual nameplate values for system sizing wherever available. Review and update information in the “Other Existing Electrical Loads” section to accurately account for existing conditions in the home. Review detailed guidance on the tab for more information.</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4. </a:t>
          </a:r>
          <a:r>
            <a:rPr lang="en-US" sz="1100" b="1">
              <a:solidFill>
                <a:srgbClr val="005757"/>
              </a:solidFill>
              <a:effectLst/>
              <a:latin typeface="Franklin Gothic Book" panose="020B0503020102020204" pitchFamily="34" charset="0"/>
              <a:ea typeface="+mn-ea"/>
              <a:cs typeface="+mn-cs"/>
            </a:rPr>
            <a:t>"Electrification Upgrades" tab</a:t>
          </a:r>
          <a:r>
            <a:rPr lang="en-US" sz="1100">
              <a:solidFill>
                <a:srgbClr val="005757"/>
              </a:solidFill>
              <a:effectLst/>
              <a:latin typeface="Franklin Gothic Book" panose="020B0503020102020204" pitchFamily="34" charset="0"/>
              <a:ea typeface="+mn-ea"/>
              <a:cs typeface="+mn-cs"/>
            </a:rPr>
            <a:t> - Enter all building electrification goals on this tab. This tab will default to show all existing gas/propane appliances as electrified, AND will show the addition of one EV charger. Users can adjust the electrification goals as needed to match project objectives. As with the previous tab, the tool assumes default values for all electrified systems. Default systems assume 1-for-1 service level replacements and typical practice for appliance choices. Users should input any actual values for preferred systems and appliances if those are known. Review detailed guidance on the tab for more information.</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5. </a:t>
          </a:r>
          <a:r>
            <a:rPr lang="en-US" sz="1100" b="1">
              <a:solidFill>
                <a:srgbClr val="005757"/>
              </a:solidFill>
              <a:effectLst/>
              <a:latin typeface="Franklin Gothic Book" panose="020B0503020102020204" pitchFamily="34" charset="0"/>
              <a:ea typeface="+mn-ea"/>
              <a:cs typeface="+mn-cs"/>
            </a:rPr>
            <a:t>Check the "Panel Impacts and Rec’s" tab</a:t>
          </a:r>
          <a:r>
            <a:rPr lang="en-US" sz="1100">
              <a:solidFill>
                <a:srgbClr val="005757"/>
              </a:solidFill>
              <a:effectLst/>
              <a:latin typeface="Franklin Gothic Book" panose="020B0503020102020204" pitchFamily="34" charset="0"/>
              <a:ea typeface="+mn-ea"/>
              <a:cs typeface="+mn-cs"/>
            </a:rPr>
            <a:t> for initial results - The graph on this tab illustrates the impact of the choices on the "Electrification Upgrades" tab on the electrical panel. Segments of the bar chart shown in red indicate that the selected loads exceed the existing panel capacity. If the electrification upgrades exceed existing panel capacity, users can explore optimization options as outlined below to reduce the overall load and achieve the upgrades within existing capacity. </a:t>
          </a:r>
          <a:r>
            <a:rPr lang="en-US" sz="1100" b="1" i="1">
              <a:solidFill>
                <a:srgbClr val="005757"/>
              </a:solidFill>
              <a:effectLst/>
              <a:latin typeface="Franklin Gothic Book" panose="020B0503020102020204" pitchFamily="34" charset="0"/>
              <a:ea typeface="+mn-ea"/>
              <a:cs typeface="+mn-cs"/>
            </a:rPr>
            <a:t>Work through the optimization tabs sequentially, and check back to the Electrical Panel Inputs tab after each one</a:t>
          </a:r>
          <a:r>
            <a:rPr lang="en-US" sz="1100">
              <a:solidFill>
                <a:srgbClr val="005757"/>
              </a:solidFill>
              <a:effectLst/>
              <a:latin typeface="Franklin Gothic Book" panose="020B0503020102020204" pitchFamily="34" charset="0"/>
              <a:ea typeface="+mn-ea"/>
              <a:cs typeface="+mn-cs"/>
            </a:rPr>
            <a:t> to determine whether the selected options will allow for all upgrades within the existing capacity.</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6. </a:t>
          </a:r>
          <a:r>
            <a:rPr lang="en-US" sz="1100" b="1">
              <a:solidFill>
                <a:srgbClr val="005757"/>
              </a:solidFill>
              <a:effectLst/>
              <a:latin typeface="Franklin Gothic Book" panose="020B0503020102020204" pitchFamily="34" charset="0"/>
              <a:ea typeface="+mn-ea"/>
              <a:cs typeface="+mn-cs"/>
            </a:rPr>
            <a:t>"Opt. 1 - Low-Power Appliances" tab</a:t>
          </a:r>
          <a:r>
            <a:rPr lang="en-US" sz="1100">
              <a:solidFill>
                <a:srgbClr val="005757"/>
              </a:solidFill>
              <a:effectLst/>
              <a:latin typeface="Franklin Gothic Book" panose="020B0503020102020204" pitchFamily="34" charset="0"/>
              <a:ea typeface="+mn-ea"/>
              <a:cs typeface="+mn-cs"/>
            </a:rPr>
            <a:t> - This tab allows the user to select power-efficient appliance options as alternatives to the default electrification choices on the Electrification Goals tab. Examples of power-efficient appliances include 120v heat pump water heaters, combined washer-dryer appliances, and lower amperage electric vehicle chargers, among others. Review detailed guidance on the tab for more information. After selecting low-power appliance options, </a:t>
          </a:r>
          <a:r>
            <a:rPr lang="en-US" sz="1100" b="1" i="1">
              <a:solidFill>
                <a:srgbClr val="005757"/>
              </a:solidFill>
              <a:effectLst/>
              <a:latin typeface="Franklin Gothic Book" panose="020B0503020102020204" pitchFamily="34" charset="0"/>
              <a:ea typeface="+mn-ea"/>
              <a:cs typeface="+mn-cs"/>
            </a:rPr>
            <a:t>check the Panel Impacts and Rec’s tab to assess the results</a:t>
          </a:r>
          <a:r>
            <a:rPr lang="en-US" sz="1100">
              <a:solidFill>
                <a:srgbClr val="005757"/>
              </a:solidFill>
              <a:effectLst/>
              <a:latin typeface="Franklin Gothic Book" panose="020B0503020102020204" pitchFamily="34" charset="0"/>
              <a:ea typeface="+mn-ea"/>
              <a:cs typeface="+mn-cs"/>
            </a:rPr>
            <a:t>.</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7. </a:t>
          </a:r>
          <a:r>
            <a:rPr lang="en-US" sz="1100" b="1">
              <a:solidFill>
                <a:srgbClr val="005757"/>
              </a:solidFill>
              <a:effectLst/>
              <a:latin typeface="Franklin Gothic Book" panose="020B0503020102020204" pitchFamily="34" charset="0"/>
              <a:ea typeface="+mn-ea"/>
              <a:cs typeface="+mn-cs"/>
            </a:rPr>
            <a:t>"Opt. 2 – Right-Size HVAC" tab</a:t>
          </a:r>
          <a:r>
            <a:rPr lang="en-US" sz="1100">
              <a:solidFill>
                <a:srgbClr val="005757"/>
              </a:solidFill>
              <a:effectLst/>
              <a:latin typeface="Franklin Gothic Book" panose="020B0503020102020204" pitchFamily="34" charset="0"/>
              <a:ea typeface="+mn-ea"/>
              <a:cs typeface="+mn-cs"/>
            </a:rPr>
            <a:t> - This tab allows the user to adjust the HVAC system size (to account for building envelope improvements or to correct for previously oversized systems), and to remove any backup strip heat (typically installed by default, but not necessary in most California climate zones). Review detailed guidance on the tab for more information. After adjusting HVAC system options, </a:t>
          </a:r>
          <a:r>
            <a:rPr lang="en-US" sz="1100" b="1" i="1">
              <a:solidFill>
                <a:srgbClr val="005757"/>
              </a:solidFill>
              <a:effectLst/>
              <a:latin typeface="Franklin Gothic Book" panose="020B0503020102020204" pitchFamily="34" charset="0"/>
              <a:ea typeface="+mn-ea"/>
              <a:cs typeface="+mn-cs"/>
            </a:rPr>
            <a:t>check the Panel Impacts and Rec’s tab to assess the results.</a:t>
          </a:r>
          <a:endParaRPr lang="en-US" sz="1100">
            <a:solidFill>
              <a:srgbClr val="005757"/>
            </a:solidFill>
            <a:effectLst/>
            <a:latin typeface="Franklin Gothic Book" panose="020B0503020102020204" pitchFamily="34" charset="0"/>
            <a:ea typeface="+mn-ea"/>
            <a:cs typeface="+mn-cs"/>
          </a:endParaRP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8. </a:t>
          </a:r>
          <a:r>
            <a:rPr lang="en-US" sz="1100" b="1">
              <a:solidFill>
                <a:srgbClr val="005757"/>
              </a:solidFill>
              <a:effectLst/>
              <a:latin typeface="Franklin Gothic Book" panose="020B0503020102020204" pitchFamily="34" charset="0"/>
              <a:ea typeface="+mn-ea"/>
              <a:cs typeface="+mn-cs"/>
            </a:rPr>
            <a:t>"Opt.3 - Panel Load Mgmt" tab</a:t>
          </a:r>
          <a:r>
            <a:rPr lang="en-US" sz="1100">
              <a:solidFill>
                <a:srgbClr val="005757"/>
              </a:solidFill>
              <a:effectLst/>
              <a:latin typeface="Franklin Gothic Book" panose="020B0503020102020204" pitchFamily="34" charset="0"/>
              <a:ea typeface="+mn-ea"/>
              <a:cs typeface="+mn-cs"/>
            </a:rPr>
            <a:t> - If optimization options in the previous two tabs are not sufficient to bring the overall load within the existing electrical panel capacity, this tab allows users to choose from several panel load management strategies. Load management options on this tab are circuit sharing, dynamic vehicle chargers (that automatically adjust the charging load based on available capacity), and smart electrical panels. The user is required to select one of these three options to show the results in the Electrical Panel Impacts tab. Review detailed guidance on the tab for more information. After selecting a Panel Load Management option, </a:t>
          </a:r>
          <a:r>
            <a:rPr lang="en-US" sz="1100" b="1" i="1">
              <a:solidFill>
                <a:srgbClr val="005757"/>
              </a:solidFill>
              <a:effectLst/>
              <a:latin typeface="Franklin Gothic Book" panose="020B0503020102020204" pitchFamily="34" charset="0"/>
              <a:ea typeface="+mn-ea"/>
              <a:cs typeface="+mn-cs"/>
            </a:rPr>
            <a:t>check the Panel Impacts and Rec’s tab to assess the results.</a:t>
          </a:r>
          <a:endParaRPr lang="en-US" sz="1100">
            <a:solidFill>
              <a:srgbClr val="005757"/>
            </a:solidFill>
            <a:effectLst/>
            <a:latin typeface="Franklin Gothic Book" panose="020B0503020102020204" pitchFamily="34" charset="0"/>
            <a:ea typeface="+mn-ea"/>
            <a:cs typeface="+mn-cs"/>
          </a:endParaRP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9. </a:t>
          </a:r>
          <a:r>
            <a:rPr lang="en-US" sz="1100" b="1">
              <a:solidFill>
                <a:srgbClr val="005757"/>
              </a:solidFill>
              <a:effectLst/>
              <a:latin typeface="Franklin Gothic Book" panose="020B0503020102020204" pitchFamily="34" charset="0"/>
              <a:ea typeface="+mn-ea"/>
              <a:cs typeface="+mn-cs"/>
            </a:rPr>
            <a:t>Determine your electrification plan - Review the "Panel Impacts and Rec’s" tab </a:t>
          </a:r>
          <a:r>
            <a:rPr lang="en-US" sz="1100">
              <a:solidFill>
                <a:srgbClr val="005757"/>
              </a:solidFill>
              <a:effectLst/>
              <a:latin typeface="Franklin Gothic Book" panose="020B0503020102020204" pitchFamily="34" charset="0"/>
              <a:ea typeface="+mn-ea"/>
              <a:cs typeface="+mn-cs"/>
            </a:rPr>
            <a:t>for the results of all the selections. The Measure Tracking Table at the bottom of the tab shows all of the system and optimization selections the user has made. Ideally the selections will allow for whole home electrification within the existing panel capacity. If the selections do not fit within the existing capacity, the description on the Panel Impacts and Rec’s tab indicates the panel size needed to accommodate the user selections. Continue adjusting the selections in the previous tabs as needed to achieve the optimal solution for the home.</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10. To reset all selections and options in the tool, start from a new blank template.</a:t>
          </a:r>
        </a:p>
      </xdr:txBody>
    </xdr:sp>
    <xdr:clientData/>
  </xdr:twoCellAnchor>
  <xdr:twoCellAnchor>
    <xdr:from>
      <xdr:col>14</xdr:col>
      <xdr:colOff>281610</xdr:colOff>
      <xdr:row>1</xdr:row>
      <xdr:rowOff>8281</xdr:rowOff>
    </xdr:from>
    <xdr:to>
      <xdr:col>25</xdr:col>
      <xdr:colOff>364435</xdr:colOff>
      <xdr:row>15</xdr:row>
      <xdr:rowOff>149087</xdr:rowOff>
    </xdr:to>
    <xdr:sp macro="" textlink="">
      <xdr:nvSpPr>
        <xdr:cNvPr id="3" name="TextBox 2">
          <a:extLst>
            <a:ext uri="{FF2B5EF4-FFF2-40B4-BE49-F238E27FC236}">
              <a16:creationId xmlns:a16="http://schemas.microsoft.com/office/drawing/2014/main" id="{6FCEECE8-2C98-4FB9-B31A-8E4620E36405}"/>
            </a:ext>
          </a:extLst>
        </xdr:cNvPr>
        <xdr:cNvSpPr txBox="1"/>
      </xdr:nvSpPr>
      <xdr:spPr>
        <a:xfrm>
          <a:off x="8464827" y="198781"/>
          <a:ext cx="6824869" cy="4182719"/>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5757"/>
              </a:solidFill>
              <a:effectLst/>
              <a:latin typeface="Franklin Gothic Book" panose="020B0503020102020204" pitchFamily="34" charset="0"/>
              <a:ea typeface="+mn-ea"/>
              <a:cs typeface="+mn-cs"/>
            </a:rPr>
            <a:t>Additional Guidance on Home Electrification and NEC Calculation Procedures</a:t>
          </a:r>
          <a:endParaRPr lang="en-US" sz="1100">
            <a:solidFill>
              <a:srgbClr val="005757"/>
            </a:solidFill>
            <a:effectLst/>
            <a:latin typeface="Franklin Gothic Book" panose="020B0503020102020204" pitchFamily="34" charset="0"/>
            <a:ea typeface="+mn-ea"/>
            <a:cs typeface="+mn-cs"/>
          </a:endParaRP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Home electrification is the process of replacing combustion-powered (natural gas, propane, fuel oil, etc.) systems and appliances with electric-powered alternatives. However, adding new electrical loads will likely cause an increase in power demand on the existing home electrical system. Contractors must calculate the new electrical loads to determine whether the existing utility service and home electrical panel capacity are sufficient to meet the new electrical demand. The required calculations are defined through several different sections of the National Electrical Code (NEC), specifically Section 220.83, which focuses on demand calculations when adding electrical load to an existing home.</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Because the calculations are stipulated through the NEC, there is a relatively clear interpretation of the required load calculations. This allows a calculator tool like this one to predict the outcomes of detailed NEC calculations for the proposed electrification and any potential strategies to reduce to reduce the overall load.</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Alternatively, NEC Section 220.87 describes a method that allows contractors to use metered energy demand data  (AMI data) to determine the remaining electrical service capacity at a home. This section applies a factor of 1.25 to the maximum metered demand data over a year, then adds the new load to calculate service requirements. This tool does not address the 220.87 approach for a few reasons. Not all permitting agencies accept the 220.87 approach on permit applications. In some cases, past energy data may not be available. Section 220.87 can also lead to a double count of loads in some cases because it treats historical loads and any new loads as fully coincident. Because 220.87 greatly simplifies the process of calculating existing service demand, contractors pursuing this method may be less likely to need a tool like this to determine remaining capacity and electrification options. However, contractors pursuing the 220.87 method can still use this tool to explore and assess how different optimization strategies could reduce the total new loads and optimize existing service capacity in a home electrification project.</a:t>
          </a:r>
        </a:p>
        <a:p>
          <a:endParaRPr lang="en-US" sz="1100" b="0" i="0" u="none" baseline="0">
            <a:solidFill>
              <a:srgbClr val="0070C0"/>
            </a:solidFill>
          </a:endParaRPr>
        </a:p>
        <a:p>
          <a:endParaRPr lang="en-US" sz="1100" b="0" i="0" u="none">
            <a:solidFill>
              <a:srgbClr val="0070C0"/>
            </a:solidFill>
          </a:endParaRPr>
        </a:p>
      </xdr:txBody>
    </xdr:sp>
    <xdr:clientData/>
  </xdr:twoCellAnchor>
  <xdr:twoCellAnchor>
    <xdr:from>
      <xdr:col>14</xdr:col>
      <xdr:colOff>289892</xdr:colOff>
      <xdr:row>16</xdr:row>
      <xdr:rowOff>107675</xdr:rowOff>
    </xdr:from>
    <xdr:to>
      <xdr:col>25</xdr:col>
      <xdr:colOff>372717</xdr:colOff>
      <xdr:row>32</xdr:row>
      <xdr:rowOff>157371</xdr:rowOff>
    </xdr:to>
    <xdr:sp macro="" textlink="">
      <xdr:nvSpPr>
        <xdr:cNvPr id="4" name="TextBox 3">
          <a:extLst>
            <a:ext uri="{FF2B5EF4-FFF2-40B4-BE49-F238E27FC236}">
              <a16:creationId xmlns:a16="http://schemas.microsoft.com/office/drawing/2014/main" id="{0288049A-275A-4A76-980B-58BE71606298}"/>
            </a:ext>
          </a:extLst>
        </xdr:cNvPr>
        <xdr:cNvSpPr txBox="1"/>
      </xdr:nvSpPr>
      <xdr:spPr>
        <a:xfrm>
          <a:off x="8473109" y="4530588"/>
          <a:ext cx="6824869" cy="3097696"/>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5757"/>
              </a:solidFill>
              <a:effectLst/>
              <a:latin typeface="Franklin Gothic Book" panose="020B0503020102020204" pitchFamily="34" charset="0"/>
              <a:ea typeface="+mn-ea"/>
              <a:cs typeface="+mn-cs"/>
            </a:rPr>
            <a:t>Additional Information</a:t>
          </a:r>
          <a:r>
            <a:rPr lang="en-US" sz="1100" b="1" u="sng" baseline="0">
              <a:solidFill>
                <a:srgbClr val="005757"/>
              </a:solidFill>
              <a:effectLst/>
              <a:latin typeface="Franklin Gothic Book" panose="020B0503020102020204" pitchFamily="34" charset="0"/>
              <a:ea typeface="+mn-ea"/>
              <a:cs typeface="+mn-cs"/>
            </a:rPr>
            <a:t> on </a:t>
          </a:r>
          <a:r>
            <a:rPr lang="en-US" sz="1100" b="1" u="sng">
              <a:solidFill>
                <a:srgbClr val="005757"/>
              </a:solidFill>
              <a:effectLst/>
              <a:latin typeface="Franklin Gothic Book" panose="020B0503020102020204" pitchFamily="34" charset="0"/>
              <a:ea typeface="+mn-ea"/>
              <a:cs typeface="+mn-cs"/>
            </a:rPr>
            <a:t>NEC Calculation Procedures for EV Chargers</a:t>
          </a:r>
          <a:endParaRPr lang="en-US" sz="1100">
            <a:solidFill>
              <a:srgbClr val="005757"/>
            </a:solidFill>
            <a:effectLst/>
            <a:latin typeface="Franklin Gothic Book" panose="020B0503020102020204" pitchFamily="34" charset="0"/>
            <a:ea typeface="+mn-ea"/>
            <a:cs typeface="+mn-cs"/>
          </a:endParaRP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Because the calculations are stipulated through the NEC, there is a relatively clear interpretation of the required load calculations. However, for EV chargers, there is some ambiguity in the language and there are several ways the calculations could be intrepreted.</a:t>
          </a:r>
        </a:p>
        <a:p>
          <a:endParaRPr lang="en-US" sz="1100">
            <a:solidFill>
              <a:srgbClr val="005757"/>
            </a:solidFill>
            <a:effectLst/>
            <a:latin typeface="Franklin Gothic Book" panose="020B0503020102020204" pitchFamily="34" charset="0"/>
            <a:ea typeface="+mn-ea"/>
            <a:cs typeface="+mn-cs"/>
          </a:endParaRPr>
        </a:p>
        <a:p>
          <a:r>
            <a:rPr lang="en-US" sz="1100">
              <a:solidFill>
                <a:srgbClr val="005757"/>
              </a:solidFill>
              <a:effectLst/>
              <a:latin typeface="Franklin Gothic Book" panose="020B0503020102020204" pitchFamily="34" charset="0"/>
              <a:ea typeface="+mn-ea"/>
              <a:cs typeface="+mn-cs"/>
            </a:rPr>
            <a:t>This</a:t>
          </a:r>
          <a:r>
            <a:rPr lang="en-US" sz="1100" baseline="0">
              <a:solidFill>
                <a:srgbClr val="005757"/>
              </a:solidFill>
              <a:effectLst/>
              <a:latin typeface="Franklin Gothic Book" panose="020B0503020102020204" pitchFamily="34" charset="0"/>
              <a:ea typeface="+mn-ea"/>
              <a:cs typeface="+mn-cs"/>
            </a:rPr>
            <a:t> tool applies the EV charger in a slignely conservative manner, but be aware that some inspectors may tak an even more conservative perspective than this approach, so this calculation is expected to be deemed acceptable except in unusual circumstances.</a:t>
          </a:r>
        </a:p>
        <a:p>
          <a:endParaRPr lang="en-US" sz="1100" baseline="0">
            <a:solidFill>
              <a:srgbClr val="005757"/>
            </a:solidFill>
            <a:effectLst/>
            <a:latin typeface="Franklin Gothic Book" panose="020B0503020102020204" pitchFamily="34" charset="0"/>
            <a:ea typeface="+mn-ea"/>
            <a:cs typeface="+mn-cs"/>
          </a:endParaRPr>
        </a:p>
        <a:p>
          <a:r>
            <a:rPr lang="en-US" sz="1100" baseline="0">
              <a:solidFill>
                <a:srgbClr val="005757"/>
              </a:solidFill>
              <a:effectLst/>
              <a:latin typeface="Franklin Gothic Book" panose="020B0503020102020204" pitchFamily="34" charset="0"/>
              <a:ea typeface="+mn-ea"/>
              <a:cs typeface="+mn-cs"/>
            </a:rPr>
            <a:t>This tool applies a coincidence factor (CF) of 40% for the EV charger.  However, the load also has a 125% load calculation factor applied to it that aligns with NEC 625.14, which stipulates that the wire sizing for large, continuous loads (operating for more than 3 hours) should include this factor when sizing the wire leads to the load. While this measure portion of the code addresses wire overheating primarily, the EV charger is a very large load and a measure of safety on sizing with respect to the load is warranted, so applying this places these calculations in a bit more conservative position for this load.</a:t>
          </a:r>
        </a:p>
        <a:p>
          <a:endParaRPr lang="en-US" sz="1100" baseline="0">
            <a:solidFill>
              <a:srgbClr val="005757"/>
            </a:solidFill>
            <a:effectLst/>
            <a:latin typeface="Franklin Gothic Book" panose="020B0503020102020204" pitchFamily="34" charset="0"/>
            <a:ea typeface="+mn-ea"/>
            <a:cs typeface="+mn-cs"/>
          </a:endParaRPr>
        </a:p>
        <a:p>
          <a:r>
            <a:rPr lang="en-US" sz="1100" baseline="0">
              <a:solidFill>
                <a:srgbClr val="005757"/>
              </a:solidFill>
              <a:effectLst/>
              <a:latin typeface="Franklin Gothic Book" panose="020B0503020102020204" pitchFamily="34" charset="0"/>
              <a:ea typeface="+mn-ea"/>
              <a:cs typeface="+mn-cs"/>
            </a:rPr>
            <a:t>The result of these two factors is that the CF factor applied in the load calculation is 0.5 (0.4*1.25).</a:t>
          </a:r>
          <a:endParaRPr lang="en-US" sz="1100">
            <a:solidFill>
              <a:srgbClr val="005757"/>
            </a:solidFill>
            <a:effectLst/>
            <a:latin typeface="Franklin Gothic Book" panose="020B0503020102020204" pitchFamily="34" charset="0"/>
            <a:ea typeface="+mn-ea"/>
            <a:cs typeface="+mn-cs"/>
          </a:endParaRPr>
        </a:p>
        <a:p>
          <a:endParaRPr lang="en-US" sz="1100">
            <a:solidFill>
              <a:srgbClr val="005757"/>
            </a:solidFill>
            <a:effectLst/>
            <a:latin typeface="Franklin Gothic Book" panose="020B0503020102020204" pitchFamily="34" charset="0"/>
            <a:ea typeface="+mn-ea"/>
            <a:cs typeface="+mn-cs"/>
          </a:endParaRPr>
        </a:p>
        <a:p>
          <a:endParaRPr lang="en-US" sz="1100" b="0" i="0" u="none">
            <a:solidFill>
              <a:srgbClr val="0070C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57150</xdr:colOff>
      <xdr:row>2</xdr:row>
      <xdr:rowOff>19051</xdr:rowOff>
    </xdr:from>
    <xdr:to>
      <xdr:col>10</xdr:col>
      <xdr:colOff>581025</xdr:colOff>
      <xdr:row>8</xdr:row>
      <xdr:rowOff>180976</xdr:rowOff>
    </xdr:to>
    <xdr:sp macro="" textlink="">
      <xdr:nvSpPr>
        <xdr:cNvPr id="2" name="TextBox 1">
          <a:extLst>
            <a:ext uri="{FF2B5EF4-FFF2-40B4-BE49-F238E27FC236}">
              <a16:creationId xmlns:a16="http://schemas.microsoft.com/office/drawing/2014/main" id="{036AF547-9F9B-4097-A799-7B31595370EB}"/>
            </a:ext>
          </a:extLst>
        </xdr:cNvPr>
        <xdr:cNvSpPr txBox="1"/>
      </xdr:nvSpPr>
      <xdr:spPr>
        <a:xfrm>
          <a:off x="666750" y="590551"/>
          <a:ext cx="8296275" cy="1314450"/>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a:solidFill>
                <a:srgbClr val="005757"/>
              </a:solidFill>
              <a:latin typeface="Franklin Gothic Book" panose="020B0503020102020204" pitchFamily="34" charset="0"/>
            </a:rPr>
            <a:t>PROPERTY INFORMATION</a:t>
          </a:r>
        </a:p>
        <a:p>
          <a:r>
            <a:rPr lang="en-US" sz="1100" i="1">
              <a:solidFill>
                <a:srgbClr val="005757"/>
              </a:solidFill>
              <a:latin typeface="Franklin Gothic Book" panose="020B0503020102020204" pitchFamily="34" charset="0"/>
            </a:rPr>
            <a:t>Input the location of the property and other information</a:t>
          </a:r>
          <a:r>
            <a:rPr lang="en-US" sz="1100" i="1" baseline="0">
              <a:solidFill>
                <a:srgbClr val="005757"/>
              </a:solidFill>
              <a:latin typeface="Franklin Gothic Book" panose="020B0503020102020204" pitchFamily="34" charset="0"/>
            </a:rPr>
            <a:t> that is available for the property.</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The vintage of the building helps determine how energy efficient the assumptions are for the existing HVAC system, and will carry through to the asssumptions for an upgraded HVAC system is no manual inputs are made to the system conditions.</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The living area square footage is related to the HVAC sizing and also the NEC assumptions for the wattage required for lighting and other general loads in the house.</a:t>
          </a:r>
          <a:endParaRPr lang="en-US" sz="1100" i="1">
            <a:solidFill>
              <a:srgbClr val="005757"/>
            </a:solidFill>
            <a:latin typeface="Franklin Gothic Book" panose="020B05030201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3</xdr:row>
      <xdr:rowOff>28575</xdr:rowOff>
    </xdr:from>
    <xdr:to>
      <xdr:col>14</xdr:col>
      <xdr:colOff>723900</xdr:colOff>
      <xdr:row>11</xdr:row>
      <xdr:rowOff>2190750</xdr:rowOff>
    </xdr:to>
    <xdr:sp macro="" textlink="">
      <xdr:nvSpPr>
        <xdr:cNvPr id="2" name="TextBox 1">
          <a:extLst>
            <a:ext uri="{FF2B5EF4-FFF2-40B4-BE49-F238E27FC236}">
              <a16:creationId xmlns:a16="http://schemas.microsoft.com/office/drawing/2014/main" id="{F9295539-EBD1-4D3C-876D-A60646AC725C}"/>
            </a:ext>
          </a:extLst>
        </xdr:cNvPr>
        <xdr:cNvSpPr txBox="1"/>
      </xdr:nvSpPr>
      <xdr:spPr>
        <a:xfrm>
          <a:off x="933450" y="809625"/>
          <a:ext cx="11125200" cy="3686175"/>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a:solidFill>
                <a:srgbClr val="005757"/>
              </a:solidFill>
              <a:latin typeface="Franklin Gothic Book" panose="020B0503020102020204" pitchFamily="34" charset="0"/>
            </a:rPr>
            <a:t>EXISTING BUILDING SYSTEMS</a:t>
          </a:r>
        </a:p>
        <a:p>
          <a:r>
            <a:rPr lang="en-US" sz="1100" b="0" i="1" u="none">
              <a:solidFill>
                <a:srgbClr val="005757"/>
              </a:solidFill>
              <a:latin typeface="Franklin Gothic Book" panose="020B0503020102020204" pitchFamily="34" charset="0"/>
            </a:rPr>
            <a:t>Input</a:t>
          </a:r>
          <a:r>
            <a:rPr lang="en-US" sz="1100" b="0" i="1" u="none" baseline="0">
              <a:solidFill>
                <a:srgbClr val="005757"/>
              </a:solidFill>
              <a:latin typeface="Franklin Gothic Book" panose="020B0503020102020204" pitchFamily="34" charset="0"/>
            </a:rPr>
            <a:t> the existing building systems information on this tab.  This information is broken into two categories; those that are likely to have electrification activity happen to them, those that will not have electrification upgrades.</a:t>
          </a:r>
        </a:p>
        <a:p>
          <a:endParaRPr lang="en-US" sz="800" b="0" i="1" u="none" baseline="0">
            <a:solidFill>
              <a:srgbClr val="005757"/>
            </a:solidFill>
            <a:latin typeface="Franklin Gothic Book" panose="020B0503020102020204" pitchFamily="34" charset="0"/>
          </a:endParaRPr>
        </a:p>
        <a:p>
          <a:r>
            <a:rPr lang="en-US" sz="1100" b="0" i="1" u="none" baseline="0">
              <a:solidFill>
                <a:srgbClr val="005757"/>
              </a:solidFill>
              <a:latin typeface="Franklin Gothic Book" panose="020B0503020102020204" pitchFamily="34" charset="0"/>
            </a:rPr>
            <a:t>Start with the left column of inputs and indicate "Y" or "N" on each of the building systems that are present in the existing (baseline) home. Most houses will have similar systems in them, so the default value for this column is a "Y" for some and a "N" for others, but they all can be changed if needed to suit the individual conditions of each residence.</a:t>
          </a:r>
        </a:p>
        <a:p>
          <a:endParaRPr lang="en-US" sz="800" b="0" i="1" u="none" baseline="0">
            <a:solidFill>
              <a:srgbClr val="005757"/>
            </a:solidFill>
            <a:latin typeface="Franklin Gothic Book" panose="020B0503020102020204" pitchFamily="34" charset="0"/>
          </a:endParaRPr>
        </a:p>
        <a:p>
          <a:r>
            <a:rPr lang="en-US" sz="1100" b="0" i="1" u="none">
              <a:solidFill>
                <a:srgbClr val="005757"/>
              </a:solidFill>
              <a:latin typeface="Franklin Gothic Book" panose="020B0503020102020204" pitchFamily="34" charset="0"/>
            </a:rPr>
            <a:t>After selecting a "Y"at</a:t>
          </a:r>
          <a:r>
            <a:rPr lang="en-US" sz="1100" b="0" i="1" u="none" baseline="0">
              <a:solidFill>
                <a:srgbClr val="005757"/>
              </a:solidFill>
              <a:latin typeface="Franklin Gothic Book" panose="020B0503020102020204" pitchFamily="34" charset="0"/>
            </a:rPr>
            <a:t> the left, continue to the right and fill in the information from the drop-down options for each cell that is colored blue.  The tool will make some basic reasonable assumptions of the electrical wattage of each device as the informatio on the type of device is selected.  These default values can be used if they are accurate, but if the user have more exact information, the "Use Dafault?" column can be changed to "N" and manual information can be input into the cells on that row. This information shold be collected from the equipment nameplates or manufacturer's literature. </a:t>
          </a:r>
          <a:r>
            <a:rPr lang="en-US" sz="1100" b="0" i="1" u="sng" baseline="0">
              <a:solidFill>
                <a:srgbClr val="005757"/>
              </a:solidFill>
              <a:latin typeface="Franklin Gothic Book" panose="020B0503020102020204" pitchFamily="34" charset="0"/>
            </a:rPr>
            <a:t>DO NOT </a:t>
          </a:r>
          <a:r>
            <a:rPr lang="en-US" sz="1100" b="0" i="1" u="none" baseline="0">
              <a:solidFill>
                <a:srgbClr val="005757"/>
              </a:solidFill>
              <a:latin typeface="Franklin Gothic Book" panose="020B0503020102020204" pitchFamily="34" charset="0"/>
            </a:rPr>
            <a:t>USE THE BREAKER SIZE FOR THE MANUAL AMPERAGE VALUE.  The amperage should be pulled from the actual equipment labels or spec sheets.  Using the breaker size will result in oversizing the load by at least 20%.</a:t>
          </a:r>
        </a:p>
        <a:p>
          <a:endParaRPr lang="en-US" sz="800" b="0" i="1" u="none" baseline="0">
            <a:solidFill>
              <a:srgbClr val="005757"/>
            </a:solidFill>
            <a:latin typeface="Franklin Gothic Book" panose="020B0503020102020204" pitchFamily="34" charset="0"/>
          </a:endParaRPr>
        </a:p>
        <a:p>
          <a:r>
            <a:rPr lang="en-US" sz="1100" b="0" i="1" u="none">
              <a:solidFill>
                <a:srgbClr val="005757"/>
              </a:solidFill>
              <a:latin typeface="Franklin Gothic Book" panose="020B0503020102020204" pitchFamily="34" charset="0"/>
            </a:rPr>
            <a:t>In the case of a</a:t>
          </a:r>
          <a:r>
            <a:rPr lang="en-US" sz="1100" b="0" i="1" u="none" baseline="0">
              <a:solidFill>
                <a:srgbClr val="005757"/>
              </a:solidFill>
              <a:latin typeface="Franklin Gothic Book" panose="020B0503020102020204" pitchFamily="34" charset="0"/>
            </a:rPr>
            <a:t> device that is not primarily an electrical device (which uses natural gas or other main energy sources instead of electricity), most of them will still have an electrical connection for controls and/or fans, etc., so the wattage may be much lower, but is unlikely to be zero.  This information is important because it enables a calculation of the existing building NEC load which becomes the baseline reference for the residence.</a:t>
          </a:r>
        </a:p>
        <a:p>
          <a:endParaRPr lang="en-US" sz="1100" b="0" i="1" u="none" baseline="0">
            <a:solidFill>
              <a:srgbClr val="005757"/>
            </a:solidFill>
            <a:latin typeface="Franklin Gothic Book" panose="020B0503020102020204" pitchFamily="34" charset="0"/>
          </a:endParaRPr>
        </a:p>
        <a:p>
          <a:r>
            <a:rPr lang="en-US" sz="1100" b="0" i="1" u="none" baseline="0">
              <a:solidFill>
                <a:srgbClr val="005757"/>
              </a:solidFill>
              <a:latin typeface="Franklin Gothic Book" panose="020B0503020102020204" pitchFamily="34" charset="0"/>
            </a:rPr>
            <a:t>For the first four rows ("Space Heating", "Space Cooling", "Ventilation", and "Strip Heat Backup"), the loads are being treated seperate from each other because the energy source will possibly be different and in many cases, these will be wired through a control system that ensures both the heat and the AC are not on at the same time.</a:t>
          </a:r>
        </a:p>
        <a:p>
          <a:endParaRPr lang="en-US" sz="1100" b="0" i="1" u="none" baseline="0">
            <a:solidFill>
              <a:srgbClr val="005757"/>
            </a:solidFill>
            <a:latin typeface="Franklin Gothic Book" panose="020B0503020102020204" pitchFamily="34" charset="0"/>
          </a:endParaRPr>
        </a:p>
        <a:p>
          <a:r>
            <a:rPr lang="en-US" sz="1100" b="0" i="1" u="none">
              <a:solidFill>
                <a:srgbClr val="005757"/>
              </a:solidFill>
              <a:latin typeface="Franklin Gothic Book" panose="020B0503020102020204" pitchFamily="34" charset="0"/>
            </a:rPr>
            <a:t>Most homes won't have more than one water heater and</a:t>
          </a:r>
          <a:r>
            <a:rPr lang="en-US" sz="1100" b="0" i="1" u="none" baseline="0">
              <a:solidFill>
                <a:srgbClr val="005757"/>
              </a:solidFill>
              <a:latin typeface="Franklin Gothic Book" panose="020B0503020102020204" pitchFamily="34" charset="0"/>
            </a:rPr>
            <a:t> many will not have any "Other Large Loads", so those can be left blank unless they do occur in the residence.  A common large load might be a spa.  A spa can be entered in either the "Other Large Loads" or further down in the "Other Appliance"  lines, however, only those in the "Other Large Loads" rows will be possible to modify as part of the electrification calculations.  The loads in the "Other Appliance" rows are considered unchangable base loads.</a:t>
          </a:r>
          <a:endParaRPr lang="en-US" sz="1100" b="0" i="1" u="none">
            <a:solidFill>
              <a:srgbClr val="005757"/>
            </a:solidFill>
            <a:latin typeface="Franklin Gothic Book" panose="020B0503020102020204" pitchFamily="34" charset="0"/>
          </a:endParaRPr>
        </a:p>
      </xdr:txBody>
    </xdr:sp>
    <xdr:clientData/>
  </xdr:twoCellAnchor>
  <xdr:twoCellAnchor>
    <xdr:from>
      <xdr:col>2</xdr:col>
      <xdr:colOff>0</xdr:colOff>
      <xdr:row>34</xdr:row>
      <xdr:rowOff>0</xdr:rowOff>
    </xdr:from>
    <xdr:to>
      <xdr:col>14</xdr:col>
      <xdr:colOff>723900</xdr:colOff>
      <xdr:row>35</xdr:row>
      <xdr:rowOff>1057275</xdr:rowOff>
    </xdr:to>
    <xdr:sp macro="" textlink="">
      <xdr:nvSpPr>
        <xdr:cNvPr id="3" name="TextBox 2">
          <a:extLst>
            <a:ext uri="{FF2B5EF4-FFF2-40B4-BE49-F238E27FC236}">
              <a16:creationId xmlns:a16="http://schemas.microsoft.com/office/drawing/2014/main" id="{1F0C789D-7228-48BD-B301-484C6557B8FA}"/>
            </a:ext>
          </a:extLst>
        </xdr:cNvPr>
        <xdr:cNvSpPr txBox="1"/>
      </xdr:nvSpPr>
      <xdr:spPr>
        <a:xfrm>
          <a:off x="933450" y="9363075"/>
          <a:ext cx="11125200" cy="1457325"/>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a:solidFill>
                <a:srgbClr val="005757"/>
              </a:solidFill>
              <a:latin typeface="Franklin Gothic Book" panose="020B0503020102020204" pitchFamily="34" charset="0"/>
            </a:rPr>
            <a:t>OTHER</a:t>
          </a:r>
          <a:r>
            <a:rPr lang="en-US" sz="1100" b="1" i="0" u="sng" baseline="0">
              <a:solidFill>
                <a:srgbClr val="005757"/>
              </a:solidFill>
              <a:latin typeface="Franklin Gothic Book" panose="020B0503020102020204" pitchFamily="34" charset="0"/>
            </a:rPr>
            <a:t> </a:t>
          </a:r>
          <a:r>
            <a:rPr lang="en-US" sz="1100" b="1" i="0" u="sng">
              <a:solidFill>
                <a:srgbClr val="005757"/>
              </a:solidFill>
              <a:latin typeface="Franklin Gothic Book" panose="020B0503020102020204" pitchFamily="34" charset="0"/>
            </a:rPr>
            <a:t>EXISTING ELECTRICAL</a:t>
          </a:r>
          <a:r>
            <a:rPr lang="en-US" sz="1100" b="1" i="0" u="sng" baseline="0">
              <a:solidFill>
                <a:srgbClr val="005757"/>
              </a:solidFill>
              <a:latin typeface="Franklin Gothic Book" panose="020B0503020102020204" pitchFamily="34" charset="0"/>
            </a:rPr>
            <a:t> LOADS</a:t>
          </a:r>
          <a:endParaRPr lang="en-US" sz="1100" b="1" i="0" u="sng">
            <a:solidFill>
              <a:srgbClr val="005757"/>
            </a:solidFill>
            <a:latin typeface="Franklin Gothic Book" panose="020B0503020102020204" pitchFamily="34" charset="0"/>
          </a:endParaRPr>
        </a:p>
        <a:p>
          <a:r>
            <a:rPr lang="en-US" sz="1100" b="0" i="1" u="none">
              <a:solidFill>
                <a:srgbClr val="005757"/>
              </a:solidFill>
              <a:latin typeface="Franklin Gothic Book" panose="020B0503020102020204" pitchFamily="34" charset="0"/>
            </a:rPr>
            <a:t>These loads won't be changed through the electrification</a:t>
          </a:r>
          <a:r>
            <a:rPr lang="en-US" sz="1100" b="0" i="1" u="none" baseline="0">
              <a:solidFill>
                <a:srgbClr val="005757"/>
              </a:solidFill>
              <a:latin typeface="Franklin Gothic Book" panose="020B0503020102020204" pitchFamily="34" charset="0"/>
            </a:rPr>
            <a:t> process so they are input on this tab and won't be optimized after this initial input.</a:t>
          </a:r>
        </a:p>
        <a:p>
          <a:endParaRPr lang="en-US" sz="800" b="0" i="1" u="none" baseline="0">
            <a:solidFill>
              <a:srgbClr val="005757"/>
            </a:solidFill>
            <a:latin typeface="Franklin Gothic Book" panose="020B0503020102020204" pitchFamily="34" charset="0"/>
          </a:endParaRPr>
        </a:p>
        <a:p>
          <a:r>
            <a:rPr lang="en-US" sz="1100" b="0" i="1" u="none" baseline="0">
              <a:solidFill>
                <a:srgbClr val="005757"/>
              </a:solidFill>
              <a:latin typeface="Franklin Gothic Book" panose="020B0503020102020204" pitchFamily="34" charset="0"/>
            </a:rPr>
            <a:t>The General Loads are dictated by the NEC calculation process and define lighting and receptacle circuits that are present in every house (and are not changable from an NEC calculation perspective).  The number of appliance and laundry circuits is dicatated as minimums in the NEC code, so if the residence has more than these present, the number of circuits should be increased to reflect the actual conditions of the residence.</a:t>
          </a:r>
        </a:p>
        <a:p>
          <a:endParaRPr lang="en-US" sz="800" b="0" i="1" u="none" baseline="0">
            <a:solidFill>
              <a:srgbClr val="005757"/>
            </a:solidFill>
            <a:latin typeface="Franklin Gothic Book" panose="020B0503020102020204" pitchFamily="34" charset="0"/>
          </a:endParaRPr>
        </a:p>
        <a:p>
          <a:r>
            <a:rPr lang="en-US" sz="1050" b="0" i="1" u="none" baseline="0">
              <a:solidFill>
                <a:srgbClr val="005757"/>
              </a:solidFill>
              <a:latin typeface="Franklin Gothic Book" panose="020B0503020102020204" pitchFamily="34" charset="0"/>
            </a:rPr>
            <a:t>The remaining Fixed Appliance loads are intended for hard-wired appliances (not receptacle loads) and those items that are called out as requiring dedicated circuits. Extra lines are provided to add any additional items that aren't covered in the typical residence list.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3</xdr:row>
      <xdr:rowOff>0</xdr:rowOff>
    </xdr:from>
    <xdr:to>
      <xdr:col>10</xdr:col>
      <xdr:colOff>685800</xdr:colOff>
      <xdr:row>17</xdr:row>
      <xdr:rowOff>161925</xdr:rowOff>
    </xdr:to>
    <xdr:sp macro="" textlink="">
      <xdr:nvSpPr>
        <xdr:cNvPr id="2" name="TextBox 1">
          <a:extLst>
            <a:ext uri="{FF2B5EF4-FFF2-40B4-BE49-F238E27FC236}">
              <a16:creationId xmlns:a16="http://schemas.microsoft.com/office/drawing/2014/main" id="{67C1331E-64E3-4664-B289-F90581BD8189}"/>
            </a:ext>
          </a:extLst>
        </xdr:cNvPr>
        <xdr:cNvSpPr txBox="1"/>
      </xdr:nvSpPr>
      <xdr:spPr>
        <a:xfrm>
          <a:off x="885825" y="685800"/>
          <a:ext cx="7934325" cy="2676525"/>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a:solidFill>
                <a:srgbClr val="005757"/>
              </a:solidFill>
              <a:latin typeface="Franklin Gothic Book" panose="020B0503020102020204" pitchFamily="34" charset="0"/>
            </a:rPr>
            <a:t>BUILDING SYSTEMS ELECTRIFICATION</a:t>
          </a:r>
        </a:p>
        <a:p>
          <a:r>
            <a:rPr lang="en-US" sz="1100" b="0" i="0" u="none">
              <a:solidFill>
                <a:srgbClr val="005757"/>
              </a:solidFill>
              <a:latin typeface="Franklin Gothic Book" panose="020B0503020102020204" pitchFamily="34" charset="0"/>
            </a:rPr>
            <a:t>Mark each buiding system that will be upgraded/electrified with a "Y" in the</a:t>
          </a:r>
          <a:r>
            <a:rPr lang="en-US" sz="1100" b="0" i="0" u="none" baseline="0">
              <a:solidFill>
                <a:srgbClr val="005757"/>
              </a:solidFill>
              <a:latin typeface="Franklin Gothic Book" panose="020B0503020102020204" pitchFamily="34" charset="0"/>
            </a:rPr>
            <a:t> second column from the left.  The first column shows whether the system was already defined in the "Systems and Loads" tab as an existing system.  If the system wasn't existing but it is being added to the home (an EV charger is a common example of this), you will see the "N" in the forst column, but placing a "Y" in the second will indicate this is a new system in the residence.</a:t>
          </a:r>
        </a:p>
        <a:p>
          <a:endParaRPr lang="en-US" sz="800" b="0" i="0" u="none" baseline="0">
            <a:solidFill>
              <a:srgbClr val="005757"/>
            </a:solidFill>
            <a:latin typeface="Franklin Gothic Book" panose="020B05030201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baseline="0">
              <a:solidFill>
                <a:srgbClr val="005757"/>
              </a:solidFill>
              <a:latin typeface="Franklin Gothic Book" panose="020B0503020102020204" pitchFamily="34" charset="0"/>
              <a:ea typeface="+mn-ea"/>
              <a:cs typeface="+mn-cs"/>
            </a:rPr>
            <a:t>After selecting a "Y" at the left, continue to the right and fill in the information from the drop-down options for each cell that is colored blue.  The tool will make some basic reasonable assumptions of the electrical wattage of each device as the information on the type of device is selected.  These default values can be used if they are accurate, but if the user have more exact information, the "Use Dafault?" column can be changed to "N" and manual information can be input into the cells on that row. This information shold be collected from the equipment nameplates or manufacturer's literature. DO NOT USE THE BREAKER SIZE FOR THE MANUAL AMPERAGE VALUE.  The amperage should be pulled from the actual equipment labels or spec sheets.  Using the breaker size will result in oversizing the load by at least 20%.</a:t>
          </a:r>
        </a:p>
        <a:p>
          <a:endParaRPr lang="en-US" sz="800" b="0" i="0" u="none" baseline="0">
            <a:solidFill>
              <a:srgbClr val="005757"/>
            </a:solidFill>
            <a:latin typeface="Franklin Gothic Book" panose="020B0503020102020204" pitchFamily="34" charset="0"/>
          </a:endParaRPr>
        </a:p>
        <a:p>
          <a:r>
            <a:rPr lang="en-US" sz="1100" b="0" i="0" u="none" baseline="0">
              <a:solidFill>
                <a:srgbClr val="005757"/>
              </a:solidFill>
              <a:latin typeface="Franklin Gothic Book" panose="020B0503020102020204" pitchFamily="34" charset="0"/>
            </a:rPr>
            <a:t>All other loads not shown on this tab are not changing with the electrification activities and need no further inputs for the calculations.</a:t>
          </a:r>
          <a:endParaRPr lang="en-US" sz="1100" b="0" i="0" u="none">
            <a:solidFill>
              <a:srgbClr val="005757"/>
            </a:solidFill>
            <a:latin typeface="Franklin Gothic Book" panose="020B05030201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112569</xdr:colOff>
      <xdr:row>0</xdr:row>
      <xdr:rowOff>126423</xdr:rowOff>
    </xdr:from>
    <xdr:to>
      <xdr:col>11</xdr:col>
      <xdr:colOff>571500</xdr:colOff>
      <xdr:row>19</xdr:row>
      <xdr:rowOff>181841</xdr:rowOff>
    </xdr:to>
    <xdr:graphicFrame macro="">
      <xdr:nvGraphicFramePr>
        <xdr:cNvPr id="7" name="Chart 6">
          <a:extLst>
            <a:ext uri="{FF2B5EF4-FFF2-40B4-BE49-F238E27FC236}">
              <a16:creationId xmlns:a16="http://schemas.microsoft.com/office/drawing/2014/main" id="{85B52165-422C-9ABB-6E2E-2934D6E74D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1</xdr:colOff>
      <xdr:row>2</xdr:row>
      <xdr:rowOff>47626</xdr:rowOff>
    </xdr:from>
    <xdr:to>
      <xdr:col>21</xdr:col>
      <xdr:colOff>0</xdr:colOff>
      <xdr:row>3</xdr:row>
      <xdr:rowOff>182562</xdr:rowOff>
    </xdr:to>
    <xdr:sp macro="" textlink="'Panel Calc Resources'!B19">
      <xdr:nvSpPr>
        <xdr:cNvPr id="2" name="TextBox 1">
          <a:extLst>
            <a:ext uri="{FF2B5EF4-FFF2-40B4-BE49-F238E27FC236}">
              <a16:creationId xmlns:a16="http://schemas.microsoft.com/office/drawing/2014/main" id="{4F23DF62-77BE-C6B7-489E-639D50C62DFD}"/>
            </a:ext>
          </a:extLst>
        </xdr:cNvPr>
        <xdr:cNvSpPr txBox="1"/>
      </xdr:nvSpPr>
      <xdr:spPr>
        <a:xfrm>
          <a:off x="8675689" y="619126"/>
          <a:ext cx="4889499" cy="325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C248A85B-131C-427A-8EE5-15273B331B57}" type="TxLink">
            <a:rPr lang="en-US" sz="1400" b="0" i="0" u="none" strike="noStrike">
              <a:solidFill>
                <a:srgbClr val="0070C0"/>
              </a:solidFill>
              <a:latin typeface="Calibri"/>
              <a:cs typeface="Calibri"/>
            </a:rPr>
            <a:pPr/>
            <a:t>The existing main electrical panel is 100 Amps.</a:t>
          </a:fld>
          <a:endParaRPr lang="en-US" sz="1400" b="0" u="none">
            <a:solidFill>
              <a:srgbClr val="0070C0"/>
            </a:solidFill>
          </a:endParaRPr>
        </a:p>
      </xdr:txBody>
    </xdr:sp>
    <xdr:clientData/>
  </xdr:twoCellAnchor>
  <xdr:twoCellAnchor>
    <xdr:from>
      <xdr:col>13</xdr:col>
      <xdr:colOff>0</xdr:colOff>
      <xdr:row>4</xdr:row>
      <xdr:rowOff>1</xdr:rowOff>
    </xdr:from>
    <xdr:to>
      <xdr:col>21</xdr:col>
      <xdr:colOff>0</xdr:colOff>
      <xdr:row>6</xdr:row>
      <xdr:rowOff>71438</xdr:rowOff>
    </xdr:to>
    <xdr:sp macro="" textlink="'Panel Calc Resources'!B20">
      <xdr:nvSpPr>
        <xdr:cNvPr id="3" name="TextBox 2">
          <a:extLst>
            <a:ext uri="{FF2B5EF4-FFF2-40B4-BE49-F238E27FC236}">
              <a16:creationId xmlns:a16="http://schemas.microsoft.com/office/drawing/2014/main" id="{2FB1D479-83DB-487D-9CD7-233E4E9CFFBC}"/>
            </a:ext>
          </a:extLst>
        </xdr:cNvPr>
        <xdr:cNvSpPr txBox="1"/>
      </xdr:nvSpPr>
      <xdr:spPr>
        <a:xfrm>
          <a:off x="8675688" y="952501"/>
          <a:ext cx="4889500" cy="452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C1F9E4A1-0B13-4AF6-94A6-5160D498CC57}" type="TxLink">
            <a:rPr lang="en-US" sz="1100" b="0" i="0" u="none" strike="noStrike">
              <a:solidFill>
                <a:srgbClr val="000000"/>
              </a:solidFill>
              <a:latin typeface="Calibri"/>
              <a:cs typeface="Calibri"/>
            </a:rPr>
            <a:pPr/>
            <a:t>With all the electrification measures chosen in the 'Electrification Upgrades' tab, the minimum size electrical panel and service will need to be 125 Amps.</a:t>
          </a:fld>
          <a:endParaRPr lang="en-US" sz="1100"/>
        </a:p>
      </xdr:txBody>
    </xdr:sp>
    <xdr:clientData/>
  </xdr:twoCellAnchor>
  <xdr:twoCellAnchor>
    <xdr:from>
      <xdr:col>13</xdr:col>
      <xdr:colOff>0</xdr:colOff>
      <xdr:row>6</xdr:row>
      <xdr:rowOff>79370</xdr:rowOff>
    </xdr:from>
    <xdr:to>
      <xdr:col>21</xdr:col>
      <xdr:colOff>0</xdr:colOff>
      <xdr:row>8</xdr:row>
      <xdr:rowOff>174620</xdr:rowOff>
    </xdr:to>
    <xdr:sp macro="" textlink="'Panel Calc Resources'!B21">
      <xdr:nvSpPr>
        <xdr:cNvPr id="4" name="TextBox 3">
          <a:extLst>
            <a:ext uri="{FF2B5EF4-FFF2-40B4-BE49-F238E27FC236}">
              <a16:creationId xmlns:a16="http://schemas.microsoft.com/office/drawing/2014/main" id="{AF979AB5-2726-4B18-BB49-5DDA0C81176F}"/>
            </a:ext>
          </a:extLst>
        </xdr:cNvPr>
        <xdr:cNvSpPr txBox="1"/>
      </xdr:nvSpPr>
      <xdr:spPr>
        <a:xfrm>
          <a:off x="8675688" y="1412870"/>
          <a:ext cx="4889500"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953829FF-19CF-4777-8701-8313582DB195}" type="TxLink">
            <a:rPr lang="en-US" sz="1100" b="0" i="0" u="none" strike="noStrike">
              <a:solidFill>
                <a:srgbClr val="FF0000"/>
              </a:solidFill>
              <a:latin typeface="Calibri"/>
              <a:cs typeface="Calibri"/>
            </a:rPr>
            <a:pPr/>
            <a:t>The optimizations selected will permit electrification without increasing the panel and service size.</a:t>
          </a:fld>
          <a:endParaRPr lang="en-US" sz="1100">
            <a:solidFill>
              <a:srgbClr val="FF0000"/>
            </a:solidFill>
          </a:endParaRPr>
        </a:p>
      </xdr:txBody>
    </xdr:sp>
    <xdr:clientData/>
  </xdr:twoCellAnchor>
  <xdr:twoCellAnchor>
    <xdr:from>
      <xdr:col>13</xdr:col>
      <xdr:colOff>0</xdr:colOff>
      <xdr:row>9</xdr:row>
      <xdr:rowOff>222231</xdr:rowOff>
    </xdr:from>
    <xdr:to>
      <xdr:col>21</xdr:col>
      <xdr:colOff>0</xdr:colOff>
      <xdr:row>14</xdr:row>
      <xdr:rowOff>63481</xdr:rowOff>
    </xdr:to>
    <xdr:sp macro="" textlink="'Panel Calc Resources'!B25">
      <xdr:nvSpPr>
        <xdr:cNvPr id="6" name="TextBox 5">
          <a:extLst>
            <a:ext uri="{FF2B5EF4-FFF2-40B4-BE49-F238E27FC236}">
              <a16:creationId xmlns:a16="http://schemas.microsoft.com/office/drawing/2014/main" id="{AD3FFE61-8D90-428A-804D-0113F92D7387}"/>
            </a:ext>
          </a:extLst>
        </xdr:cNvPr>
        <xdr:cNvSpPr txBox="1"/>
      </xdr:nvSpPr>
      <xdr:spPr>
        <a:xfrm>
          <a:off x="8691563" y="2127231"/>
          <a:ext cx="4889500" cy="849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77541FE-A277-4662-9BFA-F85696F59FB8}" type="TxLink">
            <a:rPr lang="en-US" sz="1100" b="0" i="0" u="none" strike="noStrike">
              <a:solidFill>
                <a:srgbClr val="FF0000"/>
              </a:solidFill>
              <a:latin typeface="Calibri"/>
              <a:cs typeface="Calibri"/>
            </a:rPr>
            <a:pPr/>
            <a:t>The electrification upgrades selected will require a panel and service upgrade, but follow the optimization options recommendations below to mitigate this impact.</a:t>
          </a:fld>
          <a:endParaRPr lang="en-US" sz="1100">
            <a:solidFill>
              <a:srgbClr val="FF0000"/>
            </a:solidFill>
          </a:endParaRPr>
        </a:p>
      </xdr:txBody>
    </xdr:sp>
    <xdr:clientData/>
  </xdr:twoCellAnchor>
  <xdr:twoCellAnchor>
    <xdr:from>
      <xdr:col>13</xdr:col>
      <xdr:colOff>0</xdr:colOff>
      <xdr:row>13</xdr:row>
      <xdr:rowOff>103165</xdr:rowOff>
    </xdr:from>
    <xdr:to>
      <xdr:col>21</xdr:col>
      <xdr:colOff>0</xdr:colOff>
      <xdr:row>17</xdr:row>
      <xdr:rowOff>15874</xdr:rowOff>
    </xdr:to>
    <xdr:sp macro="" textlink="'Panel Calc Resources'!B26">
      <xdr:nvSpPr>
        <xdr:cNvPr id="8" name="TextBox 7">
          <a:extLst>
            <a:ext uri="{FF2B5EF4-FFF2-40B4-BE49-F238E27FC236}">
              <a16:creationId xmlns:a16="http://schemas.microsoft.com/office/drawing/2014/main" id="{807E107B-B4BC-406F-B255-DE62840CB9F0}"/>
            </a:ext>
          </a:extLst>
        </xdr:cNvPr>
        <xdr:cNvSpPr txBox="1"/>
      </xdr:nvSpPr>
      <xdr:spPr>
        <a:xfrm>
          <a:off x="8691563" y="2825728"/>
          <a:ext cx="4889500" cy="6747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E2B2ADC3-5A09-415B-97BF-E75C459916F6}" type="TxLink">
            <a:rPr lang="en-US" sz="1100" b="0" i="0" u="none" strike="noStrike">
              <a:solidFill>
                <a:srgbClr val="FF0000"/>
              </a:solidFill>
              <a:latin typeface="Calibri"/>
              <a:cs typeface="Calibri"/>
            </a:rPr>
            <a:pPr/>
            <a:t>The currently selected optimizations will meet the existing panel capacity and no panel upgrade is required.</a:t>
          </a:fld>
          <a:endParaRPr lang="en-US" sz="1100">
            <a:solidFill>
              <a:srgbClr val="FF0000"/>
            </a:solidFill>
          </a:endParaRPr>
        </a:p>
      </xdr:txBody>
    </xdr:sp>
    <xdr:clientData/>
  </xdr:twoCellAnchor>
  <xdr:twoCellAnchor>
    <xdr:from>
      <xdr:col>13</xdr:col>
      <xdr:colOff>0</xdr:colOff>
      <xdr:row>17</xdr:row>
      <xdr:rowOff>31737</xdr:rowOff>
    </xdr:from>
    <xdr:to>
      <xdr:col>21</xdr:col>
      <xdr:colOff>0</xdr:colOff>
      <xdr:row>20</xdr:row>
      <xdr:rowOff>95250</xdr:rowOff>
    </xdr:to>
    <xdr:sp macro="" textlink="'Panel Calc Resources'!B27">
      <xdr:nvSpPr>
        <xdr:cNvPr id="9" name="TextBox 8">
          <a:extLst>
            <a:ext uri="{FF2B5EF4-FFF2-40B4-BE49-F238E27FC236}">
              <a16:creationId xmlns:a16="http://schemas.microsoft.com/office/drawing/2014/main" id="{C80BE318-E252-4A7F-A89B-5AA370B68A17}"/>
            </a:ext>
          </a:extLst>
        </xdr:cNvPr>
        <xdr:cNvSpPr txBox="1"/>
      </xdr:nvSpPr>
      <xdr:spPr>
        <a:xfrm>
          <a:off x="8691563" y="3516300"/>
          <a:ext cx="4889500" cy="635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F8C5D69-7D8C-46BA-BEEB-6A829D0D38AC}" type="TxLink">
            <a:rPr lang="en-US" sz="1100" b="0" i="0" u="none" strike="noStrike">
              <a:solidFill>
                <a:sysClr val="windowText" lastClr="000000"/>
              </a:solidFill>
              <a:latin typeface="Calibri"/>
              <a:cs typeface="Calibri"/>
            </a:rPr>
            <a:pPr/>
            <a:t>Low Power Appliances - No LPA options are chosen. Go to the LPA tab and select options that are viable for the client.</a:t>
          </a:fld>
          <a:endParaRPr lang="en-US" sz="1100">
            <a:solidFill>
              <a:sysClr val="windowText" lastClr="000000"/>
            </a:solidFill>
          </a:endParaRPr>
        </a:p>
      </xdr:txBody>
    </xdr:sp>
    <xdr:clientData/>
  </xdr:twoCellAnchor>
  <xdr:twoCellAnchor>
    <xdr:from>
      <xdr:col>13</xdr:col>
      <xdr:colOff>0</xdr:colOff>
      <xdr:row>20</xdr:row>
      <xdr:rowOff>87294</xdr:rowOff>
    </xdr:from>
    <xdr:to>
      <xdr:col>21</xdr:col>
      <xdr:colOff>0</xdr:colOff>
      <xdr:row>22</xdr:row>
      <xdr:rowOff>317490</xdr:rowOff>
    </xdr:to>
    <xdr:sp macro="" textlink="'Panel Calc Resources'!B28">
      <xdr:nvSpPr>
        <xdr:cNvPr id="10" name="TextBox 9">
          <a:extLst>
            <a:ext uri="{FF2B5EF4-FFF2-40B4-BE49-F238E27FC236}">
              <a16:creationId xmlns:a16="http://schemas.microsoft.com/office/drawing/2014/main" id="{A1BE86C0-8C1A-46A5-9F14-A8B3FC5069CC}"/>
            </a:ext>
          </a:extLst>
        </xdr:cNvPr>
        <xdr:cNvSpPr txBox="1"/>
      </xdr:nvSpPr>
      <xdr:spPr>
        <a:xfrm>
          <a:off x="8691563" y="4143357"/>
          <a:ext cx="4889500" cy="619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8FD7CC4B-E107-4409-BB05-04B2A536E347}" type="TxLink">
            <a:rPr lang="en-US" sz="1100" b="0" i="0" u="none" strike="noStrike">
              <a:solidFill>
                <a:srgbClr val="000000"/>
              </a:solidFill>
              <a:latin typeface="Calibri"/>
              <a:cs typeface="Calibri"/>
            </a:rPr>
            <a:pPr/>
            <a:t>Right Size HVAC  - No HVAC options are chosen. Go to the HVAC tab and select options that are viable for the client if applicable through HVAC or envelope upgrades.</a:t>
          </a:fld>
          <a:endParaRPr lang="en-US" sz="1100">
            <a:solidFill>
              <a:srgbClr val="FF0000"/>
            </a:solidFill>
          </a:endParaRPr>
        </a:p>
      </xdr:txBody>
    </xdr:sp>
    <xdr:clientData/>
  </xdr:twoCellAnchor>
  <xdr:twoCellAnchor>
    <xdr:from>
      <xdr:col>13</xdr:col>
      <xdr:colOff>0</xdr:colOff>
      <xdr:row>22</xdr:row>
      <xdr:rowOff>325400</xdr:rowOff>
    </xdr:from>
    <xdr:to>
      <xdr:col>21</xdr:col>
      <xdr:colOff>0</xdr:colOff>
      <xdr:row>25</xdr:row>
      <xdr:rowOff>166696</xdr:rowOff>
    </xdr:to>
    <xdr:sp macro="" textlink="'Panel Calc Resources'!B29">
      <xdr:nvSpPr>
        <xdr:cNvPr id="11" name="TextBox 10">
          <a:extLst>
            <a:ext uri="{FF2B5EF4-FFF2-40B4-BE49-F238E27FC236}">
              <a16:creationId xmlns:a16="http://schemas.microsoft.com/office/drawing/2014/main" id="{194B0A75-E9F5-41D7-800C-7111468B0E49}"/>
            </a:ext>
          </a:extLst>
        </xdr:cNvPr>
        <xdr:cNvSpPr txBox="1"/>
      </xdr:nvSpPr>
      <xdr:spPr>
        <a:xfrm>
          <a:off x="8691563" y="4770400"/>
          <a:ext cx="4889500" cy="666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44F4391-0630-4035-9525-DB3B0EA1BE53}" type="TxLink">
            <a:rPr lang="en-US" sz="1100" b="0" i="0" u="none" strike="noStrike">
              <a:solidFill>
                <a:srgbClr val="000000"/>
              </a:solidFill>
              <a:latin typeface="Calibri"/>
              <a:cs typeface="Calibri"/>
            </a:rPr>
            <a:pPr/>
            <a:t>Load Management  - No LM options are chosen. Go to the LM tab and select options that are viable for the client .</a:t>
          </a:fld>
          <a:endParaRPr lang="en-US" sz="1100">
            <a:solidFill>
              <a:srgbClr val="FF0000"/>
            </a:solidFill>
          </a:endParaRPr>
        </a:p>
      </xdr:txBody>
    </xdr:sp>
    <xdr:clientData/>
  </xdr:twoCellAnchor>
  <xdr:twoCellAnchor>
    <xdr:from>
      <xdr:col>13</xdr:col>
      <xdr:colOff>0</xdr:colOff>
      <xdr:row>30</xdr:row>
      <xdr:rowOff>30</xdr:rowOff>
    </xdr:from>
    <xdr:to>
      <xdr:col>21</xdr:col>
      <xdr:colOff>0</xdr:colOff>
      <xdr:row>32</xdr:row>
      <xdr:rowOff>182600</xdr:rowOff>
    </xdr:to>
    <xdr:sp macro="" textlink="">
      <xdr:nvSpPr>
        <xdr:cNvPr id="12" name="TextBox 11">
          <a:extLst>
            <a:ext uri="{FF2B5EF4-FFF2-40B4-BE49-F238E27FC236}">
              <a16:creationId xmlns:a16="http://schemas.microsoft.com/office/drawing/2014/main" id="{FC107179-7A71-48EE-A896-42AC42117D17}"/>
            </a:ext>
          </a:extLst>
        </xdr:cNvPr>
        <xdr:cNvSpPr txBox="1"/>
      </xdr:nvSpPr>
      <xdr:spPr>
        <a:xfrm>
          <a:off x="8691563" y="6127780"/>
          <a:ext cx="4889500" cy="619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1" u="none" strike="noStrike">
              <a:solidFill>
                <a:schemeClr val="bg1">
                  <a:lumMod val="50000"/>
                </a:schemeClr>
              </a:solidFill>
              <a:latin typeface="+mn-lt"/>
              <a:cs typeface="Calibri"/>
            </a:rPr>
            <a:t>Note: All tool results and calculations must be confirmed by a qualified contractor, verifying conditions on site. Contractor to verify that selected strategies and calculation approach are allowable by the local permitting agency.</a:t>
          </a:r>
        </a:p>
      </xdr:txBody>
    </xdr:sp>
    <xdr:clientData/>
  </xdr:twoCellAnchor>
  <xdr:twoCellAnchor>
    <xdr:from>
      <xdr:col>13</xdr:col>
      <xdr:colOff>23810</xdr:colOff>
      <xdr:row>16</xdr:row>
      <xdr:rowOff>190497</xdr:rowOff>
    </xdr:from>
    <xdr:to>
      <xdr:col>21</xdr:col>
      <xdr:colOff>15873</xdr:colOff>
      <xdr:row>16</xdr:row>
      <xdr:rowOff>190497</xdr:rowOff>
    </xdr:to>
    <xdr:cxnSp macro="">
      <xdr:nvCxnSpPr>
        <xdr:cNvPr id="14" name="Straight Connector 13">
          <a:extLst>
            <a:ext uri="{FF2B5EF4-FFF2-40B4-BE49-F238E27FC236}">
              <a16:creationId xmlns:a16="http://schemas.microsoft.com/office/drawing/2014/main" id="{E9D48057-DF6F-E5FC-E4DF-2455672AB273}"/>
            </a:ext>
          </a:extLst>
        </xdr:cNvPr>
        <xdr:cNvCxnSpPr/>
      </xdr:nvCxnSpPr>
      <xdr:spPr>
        <a:xfrm>
          <a:off x="8715373" y="3484560"/>
          <a:ext cx="4881563"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25</xdr:row>
      <xdr:rowOff>182562</xdr:rowOff>
    </xdr:from>
    <xdr:to>
      <xdr:col>20</xdr:col>
      <xdr:colOff>611187</xdr:colOff>
      <xdr:row>27</xdr:row>
      <xdr:rowOff>174623</xdr:rowOff>
    </xdr:to>
    <xdr:sp macro="" textlink="'Panel Calc Resources'!B31">
      <xdr:nvSpPr>
        <xdr:cNvPr id="15" name="TextBox 14">
          <a:extLst>
            <a:ext uri="{FF2B5EF4-FFF2-40B4-BE49-F238E27FC236}">
              <a16:creationId xmlns:a16="http://schemas.microsoft.com/office/drawing/2014/main" id="{F9DFEDC1-8BC4-44EB-B03C-5A94BB104133}"/>
            </a:ext>
          </a:extLst>
        </xdr:cNvPr>
        <xdr:cNvSpPr txBox="1"/>
      </xdr:nvSpPr>
      <xdr:spPr>
        <a:xfrm>
          <a:off x="8691563" y="5453062"/>
          <a:ext cx="4889499" cy="325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063EA03-4788-472A-9219-B38943AA06AD}" type="TxLink">
            <a:rPr lang="en-US" sz="1400" b="0" i="0" u="none" strike="noStrike">
              <a:solidFill>
                <a:srgbClr val="0070C0"/>
              </a:solidFill>
              <a:latin typeface="Calibri"/>
              <a:cs typeface="Calibri"/>
            </a:rPr>
            <a:pPr/>
            <a:t>The optimized main electrical panel is 100 Amps.</a:t>
          </a:fld>
          <a:endParaRPr lang="en-US" sz="1400" b="0" u="none">
            <a:solidFill>
              <a:srgbClr val="0070C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19050</xdr:colOff>
      <xdr:row>2</xdr:row>
      <xdr:rowOff>85725</xdr:rowOff>
    </xdr:from>
    <xdr:to>
      <xdr:col>17</xdr:col>
      <xdr:colOff>647700</xdr:colOff>
      <xdr:row>3</xdr:row>
      <xdr:rowOff>466725</xdr:rowOff>
    </xdr:to>
    <xdr:sp macro="" textlink="">
      <xdr:nvSpPr>
        <xdr:cNvPr id="2" name="TextBox 1">
          <a:extLst>
            <a:ext uri="{FF2B5EF4-FFF2-40B4-BE49-F238E27FC236}">
              <a16:creationId xmlns:a16="http://schemas.microsoft.com/office/drawing/2014/main" id="{619C40BD-E3E9-9109-297A-4D624ADB8D9F}"/>
            </a:ext>
          </a:extLst>
        </xdr:cNvPr>
        <xdr:cNvSpPr txBox="1"/>
      </xdr:nvSpPr>
      <xdr:spPr>
        <a:xfrm>
          <a:off x="5819775" y="676275"/>
          <a:ext cx="7524750" cy="714375"/>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rgbClr val="005757"/>
              </a:solidFill>
              <a:latin typeface="Franklin Gothic Book" panose="020B0503020102020204" pitchFamily="34" charset="0"/>
            </a:rPr>
            <a:t>A 120-Volt Heat Pump water heater will have a much smaller demand on the electrical</a:t>
          </a:r>
          <a:r>
            <a:rPr lang="en-US" sz="1100" i="1" baseline="0">
              <a:solidFill>
                <a:srgbClr val="005757"/>
              </a:solidFill>
              <a:latin typeface="Franklin Gothic Book" panose="020B0503020102020204" pitchFamily="34" charset="0"/>
            </a:rPr>
            <a:t> panel, but it will come at the expense of increased recovery time for the hot water in the tank after the hot water has been depleted. This approach is viable in situations where the water heater is not serving a large number of occupants.</a:t>
          </a:r>
          <a:endParaRPr lang="en-US" sz="1100" i="1">
            <a:solidFill>
              <a:srgbClr val="005757"/>
            </a:solidFill>
            <a:latin typeface="Franklin Gothic Book" panose="020B0503020102020204" pitchFamily="34" charset="0"/>
          </a:endParaRPr>
        </a:p>
      </xdr:txBody>
    </xdr:sp>
    <xdr:clientData/>
  </xdr:twoCellAnchor>
  <xdr:twoCellAnchor>
    <xdr:from>
      <xdr:col>8</xdr:col>
      <xdr:colOff>9525</xdr:colOff>
      <xdr:row>9</xdr:row>
      <xdr:rowOff>76200</xdr:rowOff>
    </xdr:from>
    <xdr:to>
      <xdr:col>17</xdr:col>
      <xdr:colOff>676275</xdr:colOff>
      <xdr:row>10</xdr:row>
      <xdr:rowOff>1114425</xdr:rowOff>
    </xdr:to>
    <xdr:sp macro="" textlink="">
      <xdr:nvSpPr>
        <xdr:cNvPr id="3" name="TextBox 2">
          <a:extLst>
            <a:ext uri="{FF2B5EF4-FFF2-40B4-BE49-F238E27FC236}">
              <a16:creationId xmlns:a16="http://schemas.microsoft.com/office/drawing/2014/main" id="{FD1745F1-9FF8-4CF8-9F7F-B65EA0E23CB3}"/>
            </a:ext>
          </a:extLst>
        </xdr:cNvPr>
        <xdr:cNvSpPr txBox="1"/>
      </xdr:nvSpPr>
      <xdr:spPr>
        <a:xfrm>
          <a:off x="5810250" y="2686050"/>
          <a:ext cx="7562850" cy="1304925"/>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rgbClr val="005757"/>
              </a:solidFill>
              <a:latin typeface="Franklin Gothic Book" panose="020B0503020102020204" pitchFamily="34" charset="0"/>
            </a:rPr>
            <a:t>A Heat Pump dryer will have a smaller demand on the electrical</a:t>
          </a:r>
          <a:r>
            <a:rPr lang="en-US" sz="1100" i="1" baseline="0">
              <a:solidFill>
                <a:srgbClr val="005757"/>
              </a:solidFill>
              <a:latin typeface="Franklin Gothic Book" panose="020B0503020102020204" pitchFamily="34" charset="0"/>
            </a:rPr>
            <a:t> panel, but it will come at the expense of increased dry times for a load and the dryers aren't as large as the largest traditional dryers. They mostly have the benefit of not requiring an external vent exhaust, but they also do require either being connected to a drain or to have a water pan emptied after every other load. They do require more maintenance.</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A 120V appliance will use substantially less energy than 240V but is liminted in size and speed because of this.</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A combined unit will save the space of a second appliance, which is beneficial in smaller dwellings.</a:t>
          </a:r>
          <a:endParaRPr lang="en-US" sz="1100" i="1">
            <a:solidFill>
              <a:srgbClr val="005757"/>
            </a:solidFill>
            <a:latin typeface="Franklin Gothic Book" panose="020B0503020102020204" pitchFamily="34" charset="0"/>
          </a:endParaRPr>
        </a:p>
      </xdr:txBody>
    </xdr:sp>
    <xdr:clientData/>
  </xdr:twoCellAnchor>
  <xdr:twoCellAnchor>
    <xdr:from>
      <xdr:col>8</xdr:col>
      <xdr:colOff>0</xdr:colOff>
      <xdr:row>17</xdr:row>
      <xdr:rowOff>9524</xdr:rowOff>
    </xdr:from>
    <xdr:to>
      <xdr:col>17</xdr:col>
      <xdr:colOff>685800</xdr:colOff>
      <xdr:row>19</xdr:row>
      <xdr:rowOff>619125</xdr:rowOff>
    </xdr:to>
    <xdr:sp macro="" textlink="">
      <xdr:nvSpPr>
        <xdr:cNvPr id="7" name="TextBox 6">
          <a:extLst>
            <a:ext uri="{FF2B5EF4-FFF2-40B4-BE49-F238E27FC236}">
              <a16:creationId xmlns:a16="http://schemas.microsoft.com/office/drawing/2014/main" id="{A1C9BD37-757F-42DF-92FC-3FD3C84CAF12}"/>
            </a:ext>
          </a:extLst>
        </xdr:cNvPr>
        <xdr:cNvSpPr txBox="1"/>
      </xdr:nvSpPr>
      <xdr:spPr>
        <a:xfrm>
          <a:off x="5800725" y="5505449"/>
          <a:ext cx="7581900" cy="1143001"/>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rgbClr val="005757"/>
              </a:solidFill>
              <a:latin typeface="Franklin Gothic Book" panose="020B0503020102020204" pitchFamily="34" charset="0"/>
            </a:rPr>
            <a:t>A combined unit will normally use less energy than seperate</a:t>
          </a:r>
          <a:r>
            <a:rPr lang="en-US" sz="1100" i="1" baseline="0">
              <a:solidFill>
                <a:srgbClr val="005757"/>
              </a:solidFill>
              <a:latin typeface="Franklin Gothic Book" panose="020B0503020102020204" pitchFamily="34" charset="0"/>
            </a:rPr>
            <a:t> units.</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An induction stovetop/oven will use less energy than a resistance or infrared appliance, so this is a more energy efficient solution and has improved cooking speed and control that is comparable to natural gas.</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A 120V induction cooktop/stove that includes a battery is a very energy efficient device that may avoid the need for pulling a 240V circuit and will have the lowest power demands of all of these kitchen devices.</a:t>
          </a:r>
          <a:endParaRPr lang="en-US" sz="1100" i="1">
            <a:solidFill>
              <a:srgbClr val="005757"/>
            </a:solidFill>
            <a:latin typeface="Franklin Gothic Book" panose="020B0503020102020204" pitchFamily="34" charset="0"/>
          </a:endParaRPr>
        </a:p>
      </xdr:txBody>
    </xdr:sp>
    <xdr:clientData/>
  </xdr:twoCellAnchor>
  <xdr:twoCellAnchor>
    <xdr:from>
      <xdr:col>8</xdr:col>
      <xdr:colOff>19050</xdr:colOff>
      <xdr:row>28</xdr:row>
      <xdr:rowOff>38101</xdr:rowOff>
    </xdr:from>
    <xdr:to>
      <xdr:col>17</xdr:col>
      <xdr:colOff>752475</xdr:colOff>
      <xdr:row>30</xdr:row>
      <xdr:rowOff>438151</xdr:rowOff>
    </xdr:to>
    <xdr:sp macro="" textlink="">
      <xdr:nvSpPr>
        <xdr:cNvPr id="8" name="TextBox 7">
          <a:extLst>
            <a:ext uri="{FF2B5EF4-FFF2-40B4-BE49-F238E27FC236}">
              <a16:creationId xmlns:a16="http://schemas.microsoft.com/office/drawing/2014/main" id="{F616D7AE-CECA-4B47-8C6D-9EFBB6B0E30B}"/>
            </a:ext>
          </a:extLst>
        </xdr:cNvPr>
        <xdr:cNvSpPr txBox="1"/>
      </xdr:nvSpPr>
      <xdr:spPr>
        <a:xfrm>
          <a:off x="5819775" y="8686801"/>
          <a:ext cx="7629525" cy="933450"/>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rgbClr val="005757"/>
              </a:solidFill>
              <a:latin typeface="Franklin Gothic Book" panose="020B0503020102020204" pitchFamily="34" charset="0"/>
            </a:rPr>
            <a:t>A slower EV charging station will take more time to charge the car, but most people don't need full charges every night and many people will only charge on the weekends or late at night when the electric rates are lower.</a:t>
          </a:r>
        </a:p>
        <a:p>
          <a:endParaRPr lang="en-US" sz="1100" i="1">
            <a:solidFill>
              <a:srgbClr val="005757"/>
            </a:solidFill>
            <a:latin typeface="Franklin Gothic Book" panose="020B0503020102020204" pitchFamily="34" charset="0"/>
          </a:endParaRPr>
        </a:p>
        <a:p>
          <a:r>
            <a:rPr lang="en-US" sz="1100" i="1">
              <a:solidFill>
                <a:srgbClr val="005757"/>
              </a:solidFill>
              <a:latin typeface="Franklin Gothic Book" panose="020B0503020102020204" pitchFamily="34" charset="0"/>
            </a:rPr>
            <a:t>Many people can</a:t>
          </a:r>
          <a:r>
            <a:rPr lang="en-US" sz="1100" i="1" baseline="0">
              <a:solidFill>
                <a:srgbClr val="005757"/>
              </a:solidFill>
              <a:latin typeface="Franklin Gothic Book" panose="020B0503020102020204" pitchFamily="34" charset="0"/>
            </a:rPr>
            <a:t> sufficiently use a Level 1 charger (that plugs into a 120v wall outlet) for short commute duty, but a Level 2 charger is needed when commutes are longer or the available time to charge is short.</a:t>
          </a:r>
          <a:endParaRPr lang="en-US" sz="1100" i="1">
            <a:solidFill>
              <a:srgbClr val="005757"/>
            </a:solidFill>
            <a:latin typeface="Franklin Gothic Book" panose="020B05030201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19050</xdr:colOff>
      <xdr:row>2</xdr:row>
      <xdr:rowOff>85724</xdr:rowOff>
    </xdr:from>
    <xdr:to>
      <xdr:col>17</xdr:col>
      <xdr:colOff>628650</xdr:colOff>
      <xdr:row>3</xdr:row>
      <xdr:rowOff>3419475</xdr:rowOff>
    </xdr:to>
    <xdr:sp macro="" textlink="">
      <xdr:nvSpPr>
        <xdr:cNvPr id="2" name="TextBox 1">
          <a:extLst>
            <a:ext uri="{FF2B5EF4-FFF2-40B4-BE49-F238E27FC236}">
              <a16:creationId xmlns:a16="http://schemas.microsoft.com/office/drawing/2014/main" id="{165BE62E-8841-4C05-9485-5DD2A5CA1D5E}"/>
            </a:ext>
          </a:extLst>
        </xdr:cNvPr>
        <xdr:cNvSpPr txBox="1"/>
      </xdr:nvSpPr>
      <xdr:spPr>
        <a:xfrm>
          <a:off x="5819775" y="657224"/>
          <a:ext cx="7505700" cy="3600451"/>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rgbClr val="005757"/>
              </a:solidFill>
              <a:latin typeface="Franklin Gothic Book" panose="020B0503020102020204" pitchFamily="34" charset="0"/>
            </a:rPr>
            <a:t>Envelope improvements</a:t>
          </a:r>
          <a:r>
            <a:rPr lang="en-US" sz="1100" i="1" baseline="0">
              <a:solidFill>
                <a:srgbClr val="005757"/>
              </a:solidFill>
              <a:latin typeface="Franklin Gothic Book" panose="020B0503020102020204" pitchFamily="34" charset="0"/>
            </a:rPr>
            <a:t> includes replacing windows and doors, replacing the dustwork with better R-value insulation, adding more insulation to the attic space, weathersealing, and other measures that will possibly reduce the need for the existing size of heating and/or cooling systems in the home.  Many homes can benefit from some improvement to these, but it is not necessary to complete a home electrification.</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One benefit of making these improvements is that the 'size' of the HVAC equipment can often be reduced because the improved enveloper performance will reduce heat gain/loss.  This may lower the total cost of the new HVAC equipment and may benefit the electrical panel loading requirements.</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Since the HVAC equipment has a 1.0 value for conincident factor, reducing the electrical demands of this equipment can have a direct benefit on the power demands in the panel calculation.</a:t>
          </a:r>
        </a:p>
        <a:p>
          <a:endParaRPr lang="en-US" sz="800" i="1" baseline="0">
            <a:solidFill>
              <a:srgbClr val="005757"/>
            </a:solidFill>
            <a:latin typeface="Franklin Gothic Book" panose="020B0503020102020204" pitchFamily="34" charset="0"/>
          </a:endParaRPr>
        </a:p>
        <a:p>
          <a:r>
            <a:rPr lang="en-US" sz="1100" b="1" i="1" baseline="0">
              <a:solidFill>
                <a:srgbClr val="005757"/>
              </a:solidFill>
              <a:latin typeface="Franklin Gothic Book" panose="020B0503020102020204" pitchFamily="34" charset="0"/>
            </a:rPr>
            <a:t>This adjustment is especially possible if the existing AC unit were oversized for the house, which is common practice and should be avoided.</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The adjustment calculated assumes envelope improvements, including increased attic insulation, better performing windows and doors, and improved weatherstripping, and represents a possible reduction that could occur. More agressive changes may be possible with careful analysis by a design professional.  Ensure that proper load calculations are performed by a trained design professional to ensure appropriate Heat Pump sizing chages are selected.</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The calculations still must fit into typical 1/2 Ton size increments of modern Heat Pumps, so in some cases, the changes may not result in a reduction in the sizing of the unit.  However, a design professional can make more detailed Schedule J calculations and determine if there is room for better improvements.  These changes can be input manually.</a:t>
          </a:r>
          <a:endParaRPr lang="en-US" sz="1100" i="1">
            <a:solidFill>
              <a:srgbClr val="005757"/>
            </a:solidFill>
            <a:latin typeface="Franklin Gothic Book" panose="020B0503020102020204" pitchFamily="34" charset="0"/>
          </a:endParaRPr>
        </a:p>
      </xdr:txBody>
    </xdr:sp>
    <xdr:clientData/>
  </xdr:twoCellAnchor>
  <xdr:twoCellAnchor>
    <xdr:from>
      <xdr:col>8</xdr:col>
      <xdr:colOff>0</xdr:colOff>
      <xdr:row>13</xdr:row>
      <xdr:rowOff>0</xdr:rowOff>
    </xdr:from>
    <xdr:to>
      <xdr:col>17</xdr:col>
      <xdr:colOff>609600</xdr:colOff>
      <xdr:row>15</xdr:row>
      <xdr:rowOff>457200</xdr:rowOff>
    </xdr:to>
    <xdr:sp macro="" textlink="">
      <xdr:nvSpPr>
        <xdr:cNvPr id="3" name="TextBox 2">
          <a:extLst>
            <a:ext uri="{FF2B5EF4-FFF2-40B4-BE49-F238E27FC236}">
              <a16:creationId xmlns:a16="http://schemas.microsoft.com/office/drawing/2014/main" id="{17F00F45-95C3-41AC-AB0A-5AD0D6C4C023}"/>
            </a:ext>
          </a:extLst>
        </xdr:cNvPr>
        <xdr:cNvSpPr txBox="1"/>
      </xdr:nvSpPr>
      <xdr:spPr>
        <a:xfrm>
          <a:off x="5800725" y="6238875"/>
          <a:ext cx="7505700" cy="2381250"/>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rgbClr val="005757"/>
              </a:solidFill>
              <a:latin typeface="Franklin Gothic Book" panose="020B0503020102020204" pitchFamily="34" charset="0"/>
            </a:rPr>
            <a:t>Electric Strip Heat is commonly included in a Heat Pump system when purchased,</a:t>
          </a:r>
          <a:r>
            <a:rPr lang="en-US" sz="1100" i="1" baseline="0">
              <a:solidFill>
                <a:srgbClr val="005757"/>
              </a:solidFill>
              <a:latin typeface="Franklin Gothic Book" panose="020B0503020102020204" pitchFamily="34" charset="0"/>
            </a:rPr>
            <a:t> but this is not often needed in almost all climate zones in California.  This strip heat is included in the air handling unit and is commonly specified as part of that device, which in a split system is specified seperately from the condensing unit.</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Strip heat has two purposes; as a backup for very cold temperatures where the HP doesn't function as well (except in high alpine areas, this does not occur in CA), and to provide heat for condensing coil defrost cycles.  Defrost cycles are not needed as well in most areas unless there is high humidity and low temperatures that would cause condensation on the coils.</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The strip heater backup is a very large load and in most places in California, completely unnecessary. To reduce demand for a larger panel, this will be more beneficial than added insulation and other envelope measures, but it has only a small benefit on energy consumption.</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In situations where backup strip heat is required, it is possible to reduce the amount to support defrost but not function as a complete backup to the heat pump.</a:t>
          </a:r>
          <a:endParaRPr lang="en-US" sz="1100" i="1">
            <a:solidFill>
              <a:srgbClr val="005757"/>
            </a:solidFill>
            <a:latin typeface="Franklin Gothic Book" panose="020B05030201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47625</xdr:colOff>
      <xdr:row>12</xdr:row>
      <xdr:rowOff>152401</xdr:rowOff>
    </xdr:from>
    <xdr:to>
      <xdr:col>19</xdr:col>
      <xdr:colOff>904875</xdr:colOff>
      <xdr:row>15</xdr:row>
      <xdr:rowOff>1638301</xdr:rowOff>
    </xdr:to>
    <xdr:sp macro="" textlink="">
      <xdr:nvSpPr>
        <xdr:cNvPr id="6" name="TextBox 5">
          <a:extLst>
            <a:ext uri="{FF2B5EF4-FFF2-40B4-BE49-F238E27FC236}">
              <a16:creationId xmlns:a16="http://schemas.microsoft.com/office/drawing/2014/main" id="{E646CC55-F2B5-4495-9AA5-69CD2F45CA12}"/>
            </a:ext>
          </a:extLst>
        </xdr:cNvPr>
        <xdr:cNvSpPr txBox="1"/>
      </xdr:nvSpPr>
      <xdr:spPr>
        <a:xfrm>
          <a:off x="5400675" y="2876551"/>
          <a:ext cx="8477250" cy="2228850"/>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rgbClr val="005757"/>
              </a:solidFill>
              <a:latin typeface="Franklin Gothic Book" panose="020B0503020102020204" pitchFamily="34" charset="0"/>
            </a:rPr>
            <a:t>This is an effective approach when you have two loads that are</a:t>
          </a:r>
          <a:r>
            <a:rPr lang="en-US" sz="1100" i="1" baseline="0">
              <a:solidFill>
                <a:srgbClr val="005757"/>
              </a:solidFill>
              <a:latin typeface="Franklin Gothic Book" panose="020B0503020102020204" pitchFamily="34" charset="0"/>
            </a:rPr>
            <a:t> similar is size and can be schedulled so that they are not needed at the same time.  For example, charge the EV after midnight and until 8AM and only run the dryer during the morning and into the evening but not late at night.</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Care must be taken to ensure that there is no possible need for both at the same time or that the load schedules don't need to change often because a simple circuit sharing device cannot easily be rescheduled and it is impossible to operate both at the same time.</a:t>
          </a:r>
        </a:p>
        <a:p>
          <a:endParaRPr lang="en-US" sz="8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In most cases, the EV charger is expected to be the larger load and will determine the size of the circuit sharing device.  It is also considered a continuous load and has a higher coincidence factor (CF) so it controls in these circumstances.</a:t>
          </a:r>
        </a:p>
        <a:p>
          <a:endParaRPr lang="en-US" sz="1100" i="1" baseline="0">
            <a:solidFill>
              <a:srgbClr val="005757"/>
            </a:solidFill>
            <a:latin typeface="Franklin Gothic Book" panose="020B0503020102020204" pitchFamily="34" charset="0"/>
          </a:endParaRPr>
        </a:p>
        <a:p>
          <a:r>
            <a:rPr lang="en-US" sz="1100" i="1">
              <a:solidFill>
                <a:srgbClr val="005757"/>
              </a:solidFill>
              <a:latin typeface="Franklin Gothic Book" panose="020B0503020102020204" pitchFamily="34" charset="0"/>
            </a:rPr>
            <a:t>Because of the circuit sharing,</a:t>
          </a:r>
          <a:r>
            <a:rPr lang="en-US" sz="1100" i="1" baseline="0">
              <a:solidFill>
                <a:srgbClr val="005757"/>
              </a:solidFill>
              <a:latin typeface="Franklin Gothic Book" panose="020B0503020102020204" pitchFamily="34" charset="0"/>
            </a:rPr>
            <a:t> there is less pressure to reduce the individual loads of the two appliances, but the energy efficiency improvement  of a Heat Pump dryer is beneficial to consider even when circuit sharing. The default assumption is that these devices revert back to the operating parameters of the 'Electrification Goals' tab and do not use the respective values in the 'Load Reduction Options #1' tab.</a:t>
          </a:r>
          <a:endParaRPr lang="en-US" sz="1100" i="1">
            <a:solidFill>
              <a:srgbClr val="005757"/>
            </a:solidFill>
            <a:latin typeface="Franklin Gothic Book" panose="020B0503020102020204" pitchFamily="34" charset="0"/>
          </a:endParaRPr>
        </a:p>
      </xdr:txBody>
    </xdr:sp>
    <xdr:clientData/>
  </xdr:twoCellAnchor>
  <xdr:twoCellAnchor>
    <xdr:from>
      <xdr:col>8</xdr:col>
      <xdr:colOff>57150</xdr:colOff>
      <xdr:row>25</xdr:row>
      <xdr:rowOff>9525</xdr:rowOff>
    </xdr:from>
    <xdr:to>
      <xdr:col>19</xdr:col>
      <xdr:colOff>914400</xdr:colOff>
      <xdr:row>26</xdr:row>
      <xdr:rowOff>1409700</xdr:rowOff>
    </xdr:to>
    <xdr:sp macro="" textlink="">
      <xdr:nvSpPr>
        <xdr:cNvPr id="2" name="TextBox 1">
          <a:extLst>
            <a:ext uri="{FF2B5EF4-FFF2-40B4-BE49-F238E27FC236}">
              <a16:creationId xmlns:a16="http://schemas.microsoft.com/office/drawing/2014/main" id="{C05B559C-DADE-470B-9AE8-5A67CA91620E}"/>
            </a:ext>
          </a:extLst>
        </xdr:cNvPr>
        <xdr:cNvSpPr txBox="1"/>
      </xdr:nvSpPr>
      <xdr:spPr>
        <a:xfrm>
          <a:off x="5410200" y="7115175"/>
          <a:ext cx="8477250" cy="1666875"/>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baseline="0">
              <a:solidFill>
                <a:srgbClr val="005757"/>
              </a:solidFill>
              <a:latin typeface="Franklin Gothic Book" panose="020B0503020102020204" pitchFamily="34" charset="0"/>
            </a:rPr>
            <a:t>This approach effectively eliminates the EV charger load during high power consumption periods and ramps it up during lower power consumption periods.</a:t>
          </a:r>
        </a:p>
        <a:p>
          <a:endParaRPr lang="en-US" sz="800" i="1" baseline="0">
            <a:solidFill>
              <a:srgbClr val="005757"/>
            </a:solidFill>
            <a:latin typeface="Franklin Gothic Book" panose="020B05030201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i="1">
              <a:solidFill>
                <a:srgbClr val="005757"/>
              </a:solidFill>
              <a:effectLst/>
              <a:latin typeface="Franklin Gothic Book" panose="020B0503020102020204" pitchFamily="34" charset="0"/>
              <a:ea typeface="+mn-ea"/>
              <a:cs typeface="+mn-cs"/>
            </a:rPr>
            <a:t>This is likely the most effective approach to reducing the potentially largest electrical load addition on the panel; the EV charger.  This approach has the benefit of not requiring any change in behavior in other building</a:t>
          </a:r>
          <a:r>
            <a:rPr lang="en-US" sz="1100" i="1" baseline="0">
              <a:solidFill>
                <a:srgbClr val="005757"/>
              </a:solidFill>
              <a:effectLst/>
              <a:latin typeface="Franklin Gothic Book" panose="020B0503020102020204" pitchFamily="34" charset="0"/>
              <a:ea typeface="+mn-ea"/>
              <a:cs typeface="+mn-cs"/>
            </a:rPr>
            <a:t> systems (dryer, most commonly) and allows the EV charger to dynamically respond with different speed charging based on available power on the panel.</a:t>
          </a:r>
        </a:p>
        <a:p>
          <a:pPr marL="0" marR="0" lvl="0" indent="0" defTabSz="914400" eaLnBrk="1" fontAlgn="auto" latinLnBrk="0" hangingPunct="1">
            <a:lnSpc>
              <a:spcPct val="100000"/>
            </a:lnSpc>
            <a:spcBef>
              <a:spcPts val="0"/>
            </a:spcBef>
            <a:spcAft>
              <a:spcPts val="0"/>
            </a:spcAft>
            <a:buClrTx/>
            <a:buSzTx/>
            <a:buFontTx/>
            <a:buNone/>
            <a:tabLst/>
            <a:defRPr/>
          </a:pPr>
          <a:endParaRPr lang="en-US" sz="1100" i="1" baseline="0">
            <a:solidFill>
              <a:srgbClr val="005757"/>
            </a:solidFill>
            <a:effectLst/>
            <a:latin typeface="Franklin Gothic Book" panose="020B050302010202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i="1" baseline="0">
              <a:solidFill>
                <a:srgbClr val="005757"/>
              </a:solidFill>
              <a:effectLst/>
              <a:latin typeface="Franklin Gothic Book" panose="020B0503020102020204" pitchFamily="34" charset="0"/>
              <a:ea typeface="+mn-ea"/>
              <a:cs typeface="+mn-cs"/>
            </a:rPr>
            <a:t>The lone drawback to this approach is that the estimated time to charge will not be as reliable because the charging rate will vary at times. Not all EV chargers are capable of this, so an upgrade to the EV charger may be required, and additional current monitoring equipment will be needed to interface with the EV charger to manage the charging speed.</a:t>
          </a:r>
          <a:endParaRPr lang="en-US">
            <a:solidFill>
              <a:srgbClr val="005757"/>
            </a:solidFill>
            <a:effectLst/>
            <a:latin typeface="Franklin Gothic Book" panose="020B0503020102020204" pitchFamily="34" charset="0"/>
          </a:endParaRPr>
        </a:p>
        <a:p>
          <a:endParaRPr lang="en-US" sz="1100" i="1">
            <a:solidFill>
              <a:srgbClr val="0070C0"/>
            </a:solidFill>
          </a:endParaRPr>
        </a:p>
      </xdr:txBody>
    </xdr:sp>
    <xdr:clientData/>
  </xdr:twoCellAnchor>
  <xdr:twoCellAnchor>
    <xdr:from>
      <xdr:col>8</xdr:col>
      <xdr:colOff>0</xdr:colOff>
      <xdr:row>36</xdr:row>
      <xdr:rowOff>1</xdr:rowOff>
    </xdr:from>
    <xdr:to>
      <xdr:col>19</xdr:col>
      <xdr:colOff>857250</xdr:colOff>
      <xdr:row>36</xdr:row>
      <xdr:rowOff>2514601</xdr:rowOff>
    </xdr:to>
    <xdr:sp macro="" textlink="">
      <xdr:nvSpPr>
        <xdr:cNvPr id="3" name="TextBox 2">
          <a:extLst>
            <a:ext uri="{FF2B5EF4-FFF2-40B4-BE49-F238E27FC236}">
              <a16:creationId xmlns:a16="http://schemas.microsoft.com/office/drawing/2014/main" id="{F087ABB6-18A2-4E98-9784-10D9364D64C9}"/>
            </a:ext>
          </a:extLst>
        </xdr:cNvPr>
        <xdr:cNvSpPr txBox="1"/>
      </xdr:nvSpPr>
      <xdr:spPr>
        <a:xfrm>
          <a:off x="5353050" y="10944226"/>
          <a:ext cx="8477250" cy="2514600"/>
        </a:xfrm>
        <a:prstGeom prst="rect">
          <a:avLst/>
        </a:prstGeom>
        <a:solidFill>
          <a:schemeClr val="lt1"/>
        </a:solidFill>
        <a:ln w="19050" cmpd="sng">
          <a:solidFill>
            <a:srgbClr val="B5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rgbClr val="005757"/>
              </a:solidFill>
              <a:latin typeface="Franklin Gothic Book" panose="020B0503020102020204" pitchFamily="34" charset="0"/>
            </a:rPr>
            <a:t>Installing</a:t>
          </a:r>
          <a:r>
            <a:rPr lang="en-US" sz="1100" i="1" baseline="0">
              <a:solidFill>
                <a:srgbClr val="005757"/>
              </a:solidFill>
              <a:latin typeface="Franklin Gothic Book" panose="020B0503020102020204" pitchFamily="34" charset="0"/>
            </a:rPr>
            <a:t> a smart panel is an effective way to manage all the loads in the house so that some can be trimmed during high power consumption periods. This approach will effectively eliminate the need for increasing the service rating, but the panel needs to be replaced completly with the new smart panel to do so. This solution is also more expensive and may be overkill for many customers because it offers control and flexability that isn't needed in most homes.</a:t>
          </a:r>
        </a:p>
        <a:p>
          <a:endParaRPr lang="en-US" sz="11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The smart panel may be a very good choice if the customer has or intends to install solar and intends to also install a battery backup system to manage the loads and charging most effectively.  The smart panel can manage the battery charging (and EV charging as well) so that while there is excess solar production, the batteries are optimally charged up and when solar produciton decreases, the charging also decreases to keep the overall grid power consumption to a minimum.</a:t>
          </a:r>
        </a:p>
        <a:p>
          <a:endParaRPr lang="en-US" sz="1100" i="1" baseline="0">
            <a:solidFill>
              <a:srgbClr val="005757"/>
            </a:solidFill>
            <a:latin typeface="Franklin Gothic Book" panose="020B0503020102020204" pitchFamily="34" charset="0"/>
          </a:endParaRPr>
        </a:p>
        <a:p>
          <a:r>
            <a:rPr lang="en-US" sz="1100" i="1" baseline="0">
              <a:solidFill>
                <a:srgbClr val="005757"/>
              </a:solidFill>
              <a:latin typeface="Franklin Gothic Book" panose="020B0503020102020204" pitchFamily="34" charset="0"/>
            </a:rPr>
            <a:t>A smart panel has few downsides because it is a very robust solution to the problem of power consumption management, however, there are some to consider.  It is the most expensive solution.  It is possibly an overkill solution for a problem that may be solved more simply and cheaply through other methods. It also is likely to be less reliable that the traditional electrical panels since it involves many more parts and added electronics to manage the loads.  It also does require re-wiring the main electrical panel, so even if it avoids the need for increasing the service to the residence, it will involve utiltiy disconnection and then reconnection.</a:t>
          </a:r>
          <a:endParaRPr lang="en-US" sz="1100" i="1">
            <a:solidFill>
              <a:srgbClr val="005757"/>
            </a:solidFill>
            <a:latin typeface="Franklin Gothic Book" panose="020B050302010202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Halim, Desyana" id="{4E8F7852-9BDC-4BED-8B6B-95C8302D64DF}" userId="S::DHalim@trcsolutions.com::6a179bb3-60c3-49fc-b665-8dee2642cef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357C805-B5CB-4DD9-A8E1-D4863FC48361}" name="Table2" displayName="Table2" ref="B3:E5" totalsRowShown="0">
  <autoFilter ref="B3:E5" xr:uid="{2357C805-B5CB-4DD9-A8E1-D4863FC48361}"/>
  <tableColumns count="4">
    <tableColumn id="1" xr3:uid="{F9B7F337-B913-4E80-A06D-4CAA2BE8A0AC}" name="Date" dataDxfId="247"/>
    <tableColumn id="2" xr3:uid="{28544328-5520-424E-9969-56879BEA9BD1}" name="Description" dataDxfId="246"/>
    <tableColumn id="3" xr3:uid="{31143A6B-4D07-44BA-A3C3-936BEE559DFA}" name="Worksheet"/>
    <tableColumn id="4" xr3:uid="{113F7088-1373-4551-B5BE-0E59FB72A9A0}" name="Author"/>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59" dT="2024-03-05T23:59:31.02" personId="{4E8F7852-9BDC-4BED-8B6B-95C8302D64DF}" id="{F1C0D67F-2459-497F-B817-FFBCAED76FE8}">
    <text>This one is a stacked unit instead of all-in-one</text>
  </threadedComment>
  <threadedComment ref="B73" dT="2024-03-06T18:59:13.14" personId="{4E8F7852-9BDC-4BED-8B6B-95C8302D64DF}" id="{DB32BB55-312F-425B-814F-6D9C57A9AD17}">
    <text>The product name says 6.0 cu.ft but the specification information says 5 cu.ft. Not sure which one is the right one</text>
  </threadedComment>
  <threadedComment ref="H109" dT="2024-03-06T23:40:10.02" personId="{4E8F7852-9BDC-4BED-8B6B-95C8302D64DF}" id="{F02FDB83-3719-40D7-815C-0EF1EF2402E4}">
    <text>If there are 2 values, lower value is for bake and higher value is for broil</text>
  </threadedComment>
  <threadedComment ref="C110" dT="2024-03-06T23:36:23.00" personId="{4E8F7852-9BDC-4BED-8B6B-95C8302D64DF}" id="{B21FBF07-D476-48AA-996D-B7B5B1BBC8D8}">
    <text>Unsure if this is the voltage for this</text>
  </threadedComment>
  <threadedComment ref="C112" dT="2024-03-06T23:36:23.00" personId="{4E8F7852-9BDC-4BED-8B6B-95C8302D64DF}" id="{1C6B5257-6ADE-48EA-84FC-1C050868590A}">
    <text>Unsure if this is the voltage for this</text>
  </threadedComment>
  <threadedComment ref="H115" dT="2024-03-06T23:45:43.70" personId="{4E8F7852-9BDC-4BED-8B6B-95C8302D64DF}" id="{F5DD346A-3797-4838-933F-4F71C7C31E18}">
    <text>Bake is 2600, broil is 3400</text>
  </threadedComment>
  <threadedComment ref="H118" dT="2024-03-06T23:53:04.55" personId="{4E8F7852-9BDC-4BED-8B6B-95C8302D64DF}" id="{10177331-3B32-4C93-8F31-74E8BC59D77E}">
    <text>Both bake and broil is 2500</text>
  </threadedComment>
  <threadedComment ref="H122" dT="2024-03-06T23:40:10.02" personId="{4E8F7852-9BDC-4BED-8B6B-95C8302D64DF}" id="{C09B0257-0606-4E29-91FA-9B3ACD5F7C1D}">
    <text>If there are 2 values, lower value is for bake and higher value is for broil</text>
  </threadedComment>
  <threadedComment ref="H124" dT="2024-03-07T18:16:50.73" personId="{4E8F7852-9BDC-4BED-8B6B-95C8302D64DF}" id="{6D051E08-CAAF-4484-BFCB-26EAB630FBF2}">
    <text>Bake is 2500 and broil is 2900</text>
  </threadedComment>
  <threadedComment ref="C125" dT="2024-03-06T23:36:23.00" personId="{4E8F7852-9BDC-4BED-8B6B-95C8302D64DF}" id="{BEDEC868-D676-4492-B494-AC20E305344E}">
    <text>Unsure if this is the voltage for this</text>
  </threadedComment>
  <threadedComment ref="C128" dT="2024-03-06T23:36:23.00" personId="{4E8F7852-9BDC-4BED-8B6B-95C8302D64DF}" id="{7440CEA8-CD18-4814-80AF-C87AA67BBC93}">
    <text>Unsure if this is the voltage for this</text>
  </threadedComment>
  <threadedComment ref="H132" dT="2024-03-07T18:25:33.06" personId="{4E8F7852-9BDC-4BED-8B6B-95C8302D64DF}" id="{2864A622-21F8-43B9-9F5E-D6BAA7669CF0}">
    <text>Bake is 2600 and broil is 3400</text>
  </threadedComment>
  <threadedComment ref="H151" dT="2024-03-07T18:38:31.85" personId="{4E8F7852-9BDC-4BED-8B6B-95C8302D64DF}" id="{139D2D28-2652-44DA-97DD-E759160AB56B}">
    <text>This seems really low</text>
  </threadedComment>
  <threadedComment ref="C208" dT="2024-03-07T23:36:53.65" personId="{4E8F7852-9BDC-4BED-8B6B-95C8302D64DF}" id="{AC05089B-F94C-40EF-A329-C7E485CEF500}">
    <text>Seems a little small</text>
  </threadedComment>
  <threadedComment ref="C209" dT="2024-03-07T23:36:53.65" personId="{4E8F7852-9BDC-4BED-8B6B-95C8302D64DF}" id="{FDF7DD63-11C8-45AD-B3DB-D9993C8733DB}">
    <text>Seems a little small</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www.homedepot.com/p/Electrolux-8-cu-ft-vented-Front-Load-Gas-Dryer-in-Glacier-Blue-ELFG7437AG/326777167" TargetMode="Externa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6785D-BA04-4043-8FE4-261ADF20BE72}">
  <sheetPr>
    <tabColor rgb="FFFF0000"/>
  </sheetPr>
  <dimension ref="B2:F21"/>
  <sheetViews>
    <sheetView showGridLines="0" showRowColHeaders="0" topLeftCell="A3" workbookViewId="0">
      <selection activeCell="Q27" sqref="Q27"/>
    </sheetView>
  </sheetViews>
  <sheetFormatPr defaultRowHeight="15" x14ac:dyDescent="0.25"/>
  <cols>
    <col min="3" max="3" width="2.5703125" customWidth="1"/>
  </cols>
  <sheetData>
    <row r="2" spans="2:6" ht="30" x14ac:dyDescent="0.4">
      <c r="B2" s="205" t="s">
        <v>0</v>
      </c>
    </row>
    <row r="4" spans="2:6" x14ac:dyDescent="0.25">
      <c r="B4" s="23"/>
      <c r="F4" s="202"/>
    </row>
    <row r="5" spans="2:6" x14ac:dyDescent="0.25">
      <c r="B5" s="23"/>
    </row>
    <row r="20" spans="2:4" x14ac:dyDescent="0.25">
      <c r="B20" s="31"/>
      <c r="D20" s="2"/>
    </row>
    <row r="21" spans="2:4" x14ac:dyDescent="0.25">
      <c r="B21" s="38"/>
      <c r="D21" s="23"/>
    </row>
  </sheetData>
  <sheetProtection algorithmName="SHA-512" hashValue="a58j21QGsZZ2Un2If3ngUbs/ai3Lqh98cZuqI3gqVgQbHJ2YXLxN2v+Mi/y0Rxcmz7WquVkuanVQ0O7xWJsv5w==" saltValue="sXZ6QB/zhsViqwrRDueW0Q==" spinCount="100000" sheet="1" objects="1" scenarios="1" selectLockedCells="1" selectUnlockedCell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16913-5C12-47E6-8CD0-A2C3E9CD927A}">
  <sheetPr>
    <tabColor rgb="FFE1F0FF"/>
  </sheetPr>
  <dimension ref="A1:AL29"/>
  <sheetViews>
    <sheetView showGridLines="0" showRowColHeaders="0" topLeftCell="A3" zoomScaleNormal="100" workbookViewId="0">
      <selection activeCell="D8" sqref="D8"/>
    </sheetView>
  </sheetViews>
  <sheetFormatPr defaultRowHeight="15" x14ac:dyDescent="0.25"/>
  <cols>
    <col min="1" max="1" width="2.28515625" customWidth="1"/>
    <col min="2" max="2" width="10.85546875" customWidth="1"/>
    <col min="3" max="3" width="2.5703125" customWidth="1"/>
    <col min="4" max="4" width="16.28515625" customWidth="1"/>
    <col min="5" max="5" width="2.5703125" customWidth="1"/>
    <col min="6" max="6" width="29.5703125" customWidth="1"/>
    <col min="7" max="7" width="2.5703125" customWidth="1"/>
    <col min="8" max="9" width="20.28515625" customWidth="1"/>
    <col min="10" max="10" width="17.140625" customWidth="1"/>
    <col min="11" max="11" width="14.28515625" customWidth="1"/>
    <col min="12" max="12" width="12.28515625" customWidth="1"/>
    <col min="13" max="13" width="11.42578125" customWidth="1"/>
    <col min="14" max="14" width="2.5703125" customWidth="1"/>
    <col min="15" max="16" width="11.42578125" customWidth="1"/>
    <col min="17" max="17" width="2.5703125" customWidth="1"/>
    <col min="18" max="18" width="11.42578125" customWidth="1"/>
    <col min="19" max="19" width="2.42578125" customWidth="1"/>
    <col min="20" max="21" width="20.28515625" hidden="1" customWidth="1"/>
    <col min="22" max="22" width="11.42578125" hidden="1" customWidth="1"/>
    <col min="23" max="23" width="2.42578125" customWidth="1"/>
    <col min="24" max="24" width="19.28515625" customWidth="1"/>
    <col min="25" max="25" width="59.140625" customWidth="1"/>
    <col min="27" max="27" width="17.140625" customWidth="1"/>
    <col min="28" max="28" width="11" customWidth="1"/>
    <col min="29" max="29" width="17.140625" customWidth="1"/>
    <col min="30" max="30" width="14.28515625" customWidth="1"/>
    <col min="31" max="31" width="12.28515625" customWidth="1"/>
    <col min="32" max="32" width="11.42578125" customWidth="1"/>
    <col min="33" max="33" width="2.5703125" customWidth="1"/>
    <col min="34" max="35" width="11.42578125" customWidth="1"/>
    <col min="36" max="36" width="2.5703125" customWidth="1"/>
    <col min="37" max="38" width="11.42578125" customWidth="1"/>
  </cols>
  <sheetData>
    <row r="1" spans="1:38" ht="30" x14ac:dyDescent="0.4">
      <c r="B1" s="205" t="s">
        <v>177</v>
      </c>
    </row>
    <row r="3" spans="1:38" ht="21" x14ac:dyDescent="0.35">
      <c r="A3" s="3"/>
      <c r="B3" s="208" t="s">
        <v>178</v>
      </c>
      <c r="M3" s="1"/>
    </row>
    <row r="4" spans="1:38" ht="270.75" customHeight="1" x14ac:dyDescent="0.25">
      <c r="A4" s="3"/>
    </row>
    <row r="5" spans="1:38" x14ac:dyDescent="0.25">
      <c r="D5" s="3"/>
      <c r="F5" s="20"/>
      <c r="H5" s="3"/>
      <c r="I5" s="3"/>
      <c r="J5" s="201"/>
      <c r="K5" s="65"/>
      <c r="L5" s="80"/>
      <c r="M5" s="3"/>
      <c r="O5" s="3"/>
      <c r="P5" s="3"/>
      <c r="R5" s="61"/>
      <c r="S5" s="3"/>
      <c r="T5" s="61"/>
      <c r="U5" s="61"/>
      <c r="V5" s="61"/>
      <c r="W5" s="3"/>
      <c r="X5" s="61"/>
      <c r="Y5" s="27"/>
      <c r="Z5" s="3"/>
      <c r="AA5" s="3"/>
      <c r="AB5" s="3"/>
      <c r="AC5" s="3"/>
      <c r="AD5" s="3"/>
      <c r="AE5" s="3"/>
      <c r="AF5" s="3"/>
    </row>
    <row r="6" spans="1:38" x14ac:dyDescent="0.25">
      <c r="D6" s="3"/>
      <c r="F6" s="20"/>
      <c r="H6" s="3"/>
      <c r="I6" s="3"/>
      <c r="J6" s="96"/>
      <c r="K6" s="65"/>
      <c r="L6" s="80"/>
      <c r="M6" s="3"/>
      <c r="O6" s="3"/>
      <c r="P6" s="3"/>
      <c r="R6" s="61"/>
      <c r="S6" s="3"/>
      <c r="T6" s="61"/>
      <c r="U6" s="61"/>
      <c r="V6" s="61"/>
      <c r="W6" s="3"/>
      <c r="X6" s="61"/>
      <c r="Y6" s="27"/>
      <c r="Z6" s="3"/>
      <c r="AA6" s="3"/>
      <c r="AB6" s="3"/>
      <c r="AC6" s="3"/>
      <c r="AD6" s="3"/>
      <c r="AE6" s="3"/>
      <c r="AF6" s="3"/>
    </row>
    <row r="7" spans="1:38" ht="45" x14ac:dyDescent="0.25">
      <c r="B7" s="4" t="s">
        <v>160</v>
      </c>
      <c r="C7" s="4"/>
      <c r="D7" s="4" t="s">
        <v>179</v>
      </c>
      <c r="E7" s="4"/>
      <c r="F7" t="s">
        <v>47</v>
      </c>
      <c r="H7" s="3" t="s">
        <v>48</v>
      </c>
      <c r="I7" s="4" t="s">
        <v>49</v>
      </c>
      <c r="J7" s="4" t="s">
        <v>180</v>
      </c>
      <c r="K7" s="43" t="s">
        <v>51</v>
      </c>
      <c r="L7" s="43" t="s">
        <v>162</v>
      </c>
      <c r="M7" s="43" t="s">
        <v>53</v>
      </c>
      <c r="O7" s="43" t="s">
        <v>54</v>
      </c>
      <c r="P7" s="43" t="s">
        <v>55</v>
      </c>
      <c r="Q7" s="3"/>
      <c r="R7" s="43" t="s">
        <v>56</v>
      </c>
      <c r="S7" s="4"/>
      <c r="T7" s="43" t="s">
        <v>48</v>
      </c>
      <c r="U7" s="43" t="s">
        <v>127</v>
      </c>
      <c r="V7" s="43" t="s">
        <v>56</v>
      </c>
      <c r="W7" s="4"/>
      <c r="X7" s="4"/>
      <c r="Z7" s="47"/>
      <c r="AA7" s="3"/>
      <c r="AB7" s="4"/>
      <c r="AC7" s="3"/>
      <c r="AD7" s="4"/>
      <c r="AE7" s="4"/>
      <c r="AF7" s="4"/>
      <c r="AH7" s="4"/>
      <c r="AI7" s="4"/>
      <c r="AJ7" s="3"/>
      <c r="AK7" s="4"/>
      <c r="AL7" s="4"/>
    </row>
    <row r="8" spans="1:38" x14ac:dyDescent="0.25">
      <c r="B8" s="17" t="str">
        <f>'Electrification Upgrades'!D24</f>
        <v>Y</v>
      </c>
      <c r="C8" s="3"/>
      <c r="D8" s="218" t="s">
        <v>68</v>
      </c>
      <c r="E8" s="3"/>
      <c r="F8" t="s">
        <v>58</v>
      </c>
      <c r="H8" s="218" t="s">
        <v>59</v>
      </c>
      <c r="I8" s="218" t="s">
        <v>128</v>
      </c>
      <c r="J8" s="59" t="str">
        <f>IF(D8="Y",Reference!W99,"")</f>
        <v/>
      </c>
      <c r="K8" s="62" t="str">
        <f>IF(D8="Y",240, "")</f>
        <v/>
      </c>
      <c r="L8" s="63" t="str">
        <f>IF(D8="Y",IF(I8="Electric Resistance",Reference!Y99,Reference!AC99),"")</f>
        <v/>
      </c>
      <c r="M8" s="218" t="s">
        <v>57</v>
      </c>
      <c r="O8" s="218"/>
      <c r="P8" s="218"/>
      <c r="Q8" s="22"/>
      <c r="R8" s="60" t="str">
        <f>IF(D8="N", "",IF(M8="Y",L8,P8*O8))</f>
        <v/>
      </c>
      <c r="S8" s="61"/>
      <c r="T8" s="60" t="str">
        <f>IF($B$8="N",'Existing Systems and Loads'!E16,IF($D$8="N",'Electrification Upgrades'!T24,H8))</f>
        <v>Central forced air</v>
      </c>
      <c r="U8" s="60" t="str">
        <f>IF($B$8="N",'Existing Systems and Loads'!F16,IF($D$8="N",'Electrification Upgrades'!U24,I8))</f>
        <v>Electric - Heat Pump</v>
      </c>
      <c r="V8" s="60">
        <f>IF($B$8="N",'Existing Systems and Loads'!O16,IF($D$8="N",'Electrification Upgrades'!V24,R8))</f>
        <v>4800</v>
      </c>
      <c r="W8" s="61"/>
      <c r="X8" s="61"/>
      <c r="Y8" s="27"/>
      <c r="Z8" s="3"/>
      <c r="AA8" s="3"/>
      <c r="AB8" s="3"/>
      <c r="AC8" s="3"/>
      <c r="AD8" s="3"/>
      <c r="AE8" s="3"/>
      <c r="AF8" s="3"/>
    </row>
    <row r="9" spans="1:38" x14ac:dyDescent="0.25">
      <c r="B9" s="17" t="str">
        <f>'Electrification Upgrades'!D25</f>
        <v>Y</v>
      </c>
      <c r="C9" s="3"/>
      <c r="D9" s="218" t="s">
        <v>68</v>
      </c>
      <c r="E9" s="3"/>
      <c r="F9" t="s">
        <v>149</v>
      </c>
      <c r="H9" s="218" t="s">
        <v>59</v>
      </c>
      <c r="I9" s="219" t="s">
        <v>63</v>
      </c>
      <c r="J9" s="59" t="str">
        <f>IF(B9="N","",IF(U8="Electric - Heat Pump","",IF(D9="Y",Reference!W104,"")))</f>
        <v/>
      </c>
      <c r="K9" s="62" t="str">
        <f>IF(B9="N","",IF(U8="Electric - Heat Pump","",IF(D9="N","",240)))</f>
        <v/>
      </c>
      <c r="L9" s="63" t="str">
        <f>IF(B9="N","",IF(U8="Electric - Heat Pump","",IF(D9="Y",Reference!AC104,"")))</f>
        <v/>
      </c>
      <c r="M9" s="218" t="s">
        <v>57</v>
      </c>
      <c r="O9" s="218"/>
      <c r="P9" s="218"/>
      <c r="Q9" s="22"/>
      <c r="R9" s="60" t="str">
        <f>IF(D9="N", "",IF(M9="Y",L9,P9*O9))</f>
        <v/>
      </c>
      <c r="S9" s="3"/>
      <c r="T9" s="60" t="str">
        <f>IF(B9="N",'Existing Systems and Loads'!E17,IF(D9="N",'Electrification Upgrades'!T25,H9))</f>
        <v/>
      </c>
      <c r="U9" s="60" t="str">
        <f>IF($B$8="N",'Existing Systems and Loads'!F17,IF($D$8="N",'Electrification Upgrades'!U25,I9))</f>
        <v/>
      </c>
      <c r="V9" s="60" t="str">
        <f>IF($B$8="N",'Existing Systems and Loads'!O17,IF($D$8="N",'Electrification Upgrades'!V25,R9))</f>
        <v/>
      </c>
      <c r="W9" s="3"/>
      <c r="X9" s="61"/>
      <c r="Y9" s="27"/>
      <c r="Z9" s="3"/>
      <c r="AA9" s="3"/>
      <c r="AB9" s="3"/>
      <c r="AC9" s="3"/>
      <c r="AD9" s="3"/>
      <c r="AE9" s="3"/>
      <c r="AF9" s="3"/>
    </row>
    <row r="10" spans="1:38" x14ac:dyDescent="0.25">
      <c r="B10" s="17" t="str">
        <f>'Electrification Upgrades'!D26</f>
        <v>Y</v>
      </c>
      <c r="C10" s="3"/>
      <c r="D10" s="218" t="s">
        <v>68</v>
      </c>
      <c r="E10" s="3"/>
      <c r="F10" t="s">
        <v>65</v>
      </c>
      <c r="H10" s="218" t="s">
        <v>66</v>
      </c>
      <c r="I10" s="219" t="s">
        <v>63</v>
      </c>
      <c r="J10" s="60" t="str">
        <f>IF(B10="N","",IF(D10="Y",Reference2!W7,""))</f>
        <v/>
      </c>
      <c r="K10" s="62" t="str">
        <f>IF(B10="N","",IF(D10="Y",240,""))</f>
        <v/>
      </c>
      <c r="L10" s="63" t="str">
        <f>IF(B10="N","",IF(D10="Y",J10,""))</f>
        <v/>
      </c>
      <c r="M10" s="218" t="s">
        <v>57</v>
      </c>
      <c r="O10" s="218"/>
      <c r="P10" s="218"/>
      <c r="R10" s="60" t="str">
        <f>IF(D10="N", "",IF(M10="Y",L10,P10*O10))</f>
        <v/>
      </c>
      <c r="S10" s="3"/>
      <c r="T10" s="60" t="str">
        <f>IF(B10="N",'Existing Systems and Loads'!E18,IF(D10="N",'Electrification Upgrades'!T26,H10))</f>
        <v>Air Handler</v>
      </c>
      <c r="U10" s="60" t="str">
        <f>IF($B$10="N",'Existing Systems and Loads'!F18,IF($D$10="N",'Electrification Upgrades'!U26,I10))</f>
        <v>Electric</v>
      </c>
      <c r="V10" s="60">
        <f>IF($B$10="N",'Existing Systems and Loads'!O18,IF($D$10="N",'Electrification Upgrades'!V26,R10))</f>
        <v>500</v>
      </c>
      <c r="W10" s="3"/>
      <c r="X10" s="61"/>
      <c r="Y10" s="27"/>
      <c r="Z10" s="3"/>
      <c r="AA10" s="3"/>
      <c r="AB10" s="3"/>
      <c r="AC10" s="3"/>
      <c r="AD10" s="3"/>
      <c r="AE10" s="3"/>
      <c r="AF10" s="3"/>
    </row>
    <row r="11" spans="1:38" s="5" customFormat="1" ht="15.75" thickBot="1" x14ac:dyDescent="0.3">
      <c r="B11" s="179"/>
      <c r="C11" s="193"/>
      <c r="D11" s="179"/>
      <c r="E11" s="193"/>
      <c r="H11" s="179"/>
      <c r="I11" s="179"/>
      <c r="J11" s="180"/>
      <c r="K11" s="181"/>
      <c r="L11" s="182"/>
      <c r="M11" s="179"/>
      <c r="O11" s="179"/>
      <c r="P11" s="179"/>
      <c r="R11" s="183"/>
      <c r="S11" s="193"/>
      <c r="T11" s="184"/>
      <c r="U11" s="183"/>
      <c r="V11" s="183"/>
      <c r="W11" s="193"/>
      <c r="X11" s="193"/>
      <c r="Y11" s="194"/>
      <c r="Z11" s="193"/>
      <c r="AA11" s="193"/>
      <c r="AB11" s="193"/>
      <c r="AC11" s="193"/>
      <c r="AD11" s="193"/>
      <c r="AE11" s="193"/>
    </row>
    <row r="12" spans="1:38" s="185" customFormat="1" ht="3.75" customHeight="1" x14ac:dyDescent="0.25">
      <c r="B12" s="186"/>
      <c r="C12" s="186"/>
      <c r="D12" s="186"/>
      <c r="E12" s="186"/>
      <c r="H12" s="186"/>
      <c r="I12" s="186"/>
      <c r="J12" s="187"/>
      <c r="K12" s="188"/>
      <c r="L12" s="189"/>
      <c r="M12" s="186"/>
      <c r="O12" s="186"/>
      <c r="P12" s="186"/>
      <c r="R12" s="190"/>
      <c r="S12" s="186"/>
      <c r="T12" s="191"/>
      <c r="U12" s="190"/>
      <c r="V12" s="190"/>
      <c r="W12" s="186"/>
      <c r="X12" s="186"/>
      <c r="Y12" s="191"/>
      <c r="Z12" s="186"/>
      <c r="AA12" s="186"/>
      <c r="AB12" s="186"/>
      <c r="AC12" s="186"/>
      <c r="AD12" s="186"/>
      <c r="AE12" s="186"/>
    </row>
    <row r="14" spans="1:38" ht="21" x14ac:dyDescent="0.35">
      <c r="B14" s="208" t="s">
        <v>181</v>
      </c>
    </row>
    <row r="15" spans="1:38" ht="130.5" customHeight="1" x14ac:dyDescent="0.4">
      <c r="B15" s="171"/>
    </row>
    <row r="16" spans="1:38" ht="45" x14ac:dyDescent="0.25">
      <c r="B16" s="4" t="s">
        <v>182</v>
      </c>
      <c r="D16" s="4" t="s">
        <v>183</v>
      </c>
      <c r="E16" s="47"/>
      <c r="F16" s="3"/>
    </row>
    <row r="17" spans="2:32" x14ac:dyDescent="0.25">
      <c r="B17" s="44" t="str">
        <f>'Electrification Upgrades'!D27</f>
        <v>N</v>
      </c>
      <c r="C17" s="3"/>
      <c r="D17" s="218" t="s">
        <v>68</v>
      </c>
      <c r="E17" s="3"/>
      <c r="F17" t="s">
        <v>184</v>
      </c>
      <c r="H17" s="218" t="s">
        <v>185</v>
      </c>
      <c r="I17" s="14" t="s">
        <v>63</v>
      </c>
      <c r="J17" s="66" t="str">
        <f>IF(D17="Y",IF(H17="None","",IF(RIGHT(H17,3)="25%",Reference2!AE8,IF(RIGHT(H17,3)="50%",Reference2!AE9,Reference2!AE10))),"")</f>
        <v/>
      </c>
      <c r="K17" s="62" t="str">
        <f>IF(D17="Y",IF(H17="None","",240), "")</f>
        <v/>
      </c>
      <c r="L17" s="63" t="str">
        <f>IF(D17="Y",IF(H17="None","",J17),"")</f>
        <v/>
      </c>
      <c r="M17" s="220" t="s">
        <v>57</v>
      </c>
      <c r="O17" s="218"/>
      <c r="P17" s="218"/>
      <c r="Q17" s="22"/>
      <c r="R17" s="60" t="str">
        <f>IF(D17="N", "",IF(M17="Y",L17,P17*O17))</f>
        <v/>
      </c>
      <c r="S17" s="3"/>
      <c r="T17" s="60" t="str">
        <f>IF(AND(B17="Y",D17="N"),'Electrification Upgrades'!T27,IF(D17="Y",H17,""))</f>
        <v/>
      </c>
      <c r="U17" s="60" t="str">
        <f>IF(AND(B17="Y",D17="N"),'Electrification Upgrades'!U27,IF(D17="Y",I17,""))</f>
        <v/>
      </c>
      <c r="V17" s="60" t="str">
        <f>IF(AND(B17="Y",D17="N"),'Electrification Upgrades'!V27,IF(D17="Y",R17,""))</f>
        <v/>
      </c>
      <c r="W17" s="3"/>
      <c r="X17" s="61"/>
      <c r="Y17" s="27"/>
      <c r="Z17" s="3"/>
      <c r="AA17" s="3"/>
      <c r="AB17" s="3"/>
      <c r="AC17" s="3"/>
      <c r="AD17" s="3"/>
      <c r="AE17" s="3"/>
      <c r="AF17" s="3"/>
    </row>
    <row r="19" spans="2:32" ht="18.75" x14ac:dyDescent="0.3">
      <c r="D19" s="52"/>
    </row>
    <row r="20" spans="2:32" x14ac:dyDescent="0.25">
      <c r="E20" s="47"/>
      <c r="F20" s="3"/>
    </row>
    <row r="21" spans="2:32" x14ac:dyDescent="0.25">
      <c r="E21" s="3"/>
      <c r="F21" s="3"/>
    </row>
    <row r="23" spans="2:32" ht="18.75" x14ac:dyDescent="0.3">
      <c r="D23" s="52"/>
    </row>
    <row r="24" spans="2:32" x14ac:dyDescent="0.25">
      <c r="E24" s="47"/>
      <c r="F24" s="3"/>
    </row>
    <row r="25" spans="2:32" x14ac:dyDescent="0.25">
      <c r="E25" s="3"/>
      <c r="F25" s="3"/>
    </row>
    <row r="27" spans="2:32" ht="18.75" x14ac:dyDescent="0.3">
      <c r="D27" s="52"/>
    </row>
    <row r="28" spans="2:32" x14ac:dyDescent="0.25">
      <c r="E28" s="47"/>
      <c r="F28" s="3"/>
    </row>
    <row r="29" spans="2:32" x14ac:dyDescent="0.25">
      <c r="E29" s="3"/>
      <c r="F29" s="3"/>
    </row>
  </sheetData>
  <sheetProtection algorithmName="SHA-512" hashValue="ibK3gWV+bOTSTV8G9ISv6laYtt/vKGo+/qDL9imBSj+Xyjq/qO1B/Kmi1NrQjuHvwm2X8kLJrxbMToisGS5K4Q==" saltValue="dKb0k/XXP4ajpVFKFm8LRg==" spinCount="100000" sheet="1" objects="1" scenarios="1" selectLockedCells="1"/>
  <conditionalFormatting sqref="B8:B10">
    <cfRule type="expression" dxfId="115" priority="39" stopIfTrue="1">
      <formula>B8="N"</formula>
    </cfRule>
    <cfRule type="expression" dxfId="114" priority="38" stopIfTrue="1">
      <formula>B8="Y"</formula>
    </cfRule>
  </conditionalFormatting>
  <conditionalFormatting sqref="B17">
    <cfRule type="expression" dxfId="113" priority="19" stopIfTrue="1">
      <formula>B17="Y"</formula>
    </cfRule>
    <cfRule type="expression" dxfId="112" priority="20" stopIfTrue="1">
      <formula>B17="N"</formula>
    </cfRule>
  </conditionalFormatting>
  <conditionalFormatting sqref="D8:D10">
    <cfRule type="expression" dxfId="111" priority="53">
      <formula>$D8="N"</formula>
    </cfRule>
    <cfRule type="expression" dxfId="110" priority="37">
      <formula>$D8="Y"</formula>
    </cfRule>
  </conditionalFormatting>
  <conditionalFormatting sqref="D11:D12">
    <cfRule type="expression" dxfId="109" priority="2" stopIfTrue="1">
      <formula>$D11="Y"</formula>
    </cfRule>
    <cfRule type="expression" dxfId="108" priority="3">
      <formula>$D11="N"</formula>
    </cfRule>
  </conditionalFormatting>
  <conditionalFormatting sqref="D17">
    <cfRule type="expression" dxfId="107" priority="18">
      <formula>$D17="Y"</formula>
    </cfRule>
    <cfRule type="expression" dxfId="106" priority="31">
      <formula>$D17="N"</formula>
    </cfRule>
  </conditionalFormatting>
  <conditionalFormatting sqref="F5:F6">
    <cfRule type="expression" dxfId="105" priority="33" stopIfTrue="1">
      <formula>F5="N"</formula>
    </cfRule>
    <cfRule type="expression" dxfId="104" priority="32" stopIfTrue="1">
      <formula>F5="Y"</formula>
    </cfRule>
  </conditionalFormatting>
  <conditionalFormatting sqref="H8:H10 I8">
    <cfRule type="expression" dxfId="103" priority="43" stopIfTrue="1">
      <formula>OR($B8="N",$B8="N")</formula>
    </cfRule>
  </conditionalFormatting>
  <conditionalFormatting sqref="H9 M9:M10">
    <cfRule type="expression" dxfId="102" priority="34" stopIfTrue="1">
      <formula>#REF!="Y"</formula>
    </cfRule>
    <cfRule type="expression" dxfId="101" priority="35">
      <formula>#REF!="N"</formula>
    </cfRule>
  </conditionalFormatting>
  <conditionalFormatting sqref="H10:H12">
    <cfRule type="expression" dxfId="100" priority="6">
      <formula>AND(ISBLANK(H10),$D10="Y")</formula>
    </cfRule>
  </conditionalFormatting>
  <conditionalFormatting sqref="H11:H12 M11:M12">
    <cfRule type="expression" dxfId="99" priority="8">
      <formula>$D11="N"</formula>
    </cfRule>
  </conditionalFormatting>
  <conditionalFormatting sqref="H17">
    <cfRule type="expression" dxfId="98" priority="12" stopIfTrue="1">
      <formula>OR($B17="N",$D17="N")</formula>
    </cfRule>
    <cfRule type="expression" dxfId="97" priority="13">
      <formula>$D17="Y"</formula>
    </cfRule>
    <cfRule type="expression" dxfId="96" priority="14">
      <formula>AND(ISBLANK(H17),$D17="Y")</formula>
    </cfRule>
  </conditionalFormatting>
  <conditionalFormatting sqref="H8:I10">
    <cfRule type="expression" dxfId="95" priority="47">
      <formula>AND(ISBLANK(H8),$D8="Y")</formula>
    </cfRule>
  </conditionalFormatting>
  <conditionalFormatting sqref="H11:I12 M11:M12">
    <cfRule type="expression" dxfId="94" priority="7" stopIfTrue="1">
      <formula>$D11="Y"</formula>
    </cfRule>
  </conditionalFormatting>
  <conditionalFormatting sqref="H9:M9 I10:M10 D9:D10 O9:P10 R9:R10">
    <cfRule type="expression" dxfId="93" priority="36" stopIfTrue="1">
      <formula>#REF!="Y"</formula>
    </cfRule>
  </conditionalFormatting>
  <conditionalFormatting sqref="I8 H8:H10">
    <cfRule type="expression" dxfId="92" priority="46" stopIfTrue="1">
      <formula>$D8="Y"</formula>
    </cfRule>
  </conditionalFormatting>
  <conditionalFormatting sqref="I11:I12">
    <cfRule type="expression" dxfId="91" priority="1">
      <formula>AND(LEFT($H$6,5)="Tankl",$I11="Electric - Heat Pump")</formula>
    </cfRule>
  </conditionalFormatting>
  <conditionalFormatting sqref="J8:L10">
    <cfRule type="expression" dxfId="90" priority="41">
      <formula>ISERROR(J8)</formula>
    </cfRule>
  </conditionalFormatting>
  <conditionalFormatting sqref="J11:L12">
    <cfRule type="expression" dxfId="89" priority="4">
      <formula>ISERROR(J11)</formula>
    </cfRule>
  </conditionalFormatting>
  <conditionalFormatting sqref="J17:L17">
    <cfRule type="expression" dxfId="88" priority="21">
      <formula>ISERROR(J17)</formula>
    </cfRule>
  </conditionalFormatting>
  <conditionalFormatting sqref="M8:M10">
    <cfRule type="expression" dxfId="87" priority="49">
      <formula>$D8="Y"</formula>
    </cfRule>
    <cfRule type="expression" dxfId="86" priority="48" stopIfTrue="1">
      <formula>OR($D8="N",$B8="N")</formula>
    </cfRule>
  </conditionalFormatting>
  <conditionalFormatting sqref="M17">
    <cfRule type="expression" dxfId="85" priority="26" stopIfTrue="1">
      <formula>$D17="Y"</formula>
    </cfRule>
    <cfRule type="expression" dxfId="84" priority="27">
      <formula>$D17="N"</formula>
    </cfRule>
  </conditionalFormatting>
  <conditionalFormatting sqref="O8:P10">
    <cfRule type="expression" dxfId="83" priority="50">
      <formula>$M8="Y"</formula>
    </cfRule>
    <cfRule type="expression" dxfId="82" priority="51">
      <formula>AND(ISBLANK(O8),$M8="N")</formula>
    </cfRule>
    <cfRule type="expression" dxfId="81" priority="52">
      <formula>$M8="N"</formula>
    </cfRule>
  </conditionalFormatting>
  <conditionalFormatting sqref="O11:P12">
    <cfRule type="expression" dxfId="80" priority="11">
      <formula>$M11="N"</formula>
    </cfRule>
    <cfRule type="expression" dxfId="79" priority="10">
      <formula>AND(ISBLANK(O11),$M11="N")</formula>
    </cfRule>
    <cfRule type="expression" dxfId="78" priority="9">
      <formula>$M11="Y"</formula>
    </cfRule>
  </conditionalFormatting>
  <conditionalFormatting sqref="O17:P17">
    <cfRule type="expression" dxfId="77" priority="29">
      <formula>AND(ISBLANK(O17),$M17="N")</formula>
    </cfRule>
    <cfRule type="expression" dxfId="76" priority="30">
      <formula>$M17="N"</formula>
    </cfRule>
    <cfRule type="expression" dxfId="75" priority="28">
      <formula>$M17="Y"</formula>
    </cfRule>
  </conditionalFormatting>
  <conditionalFormatting sqref="R8:R10">
    <cfRule type="expression" dxfId="74" priority="40" stopIfTrue="1">
      <formula>$R8=0</formula>
    </cfRule>
    <cfRule type="expression" dxfId="73" priority="42">
      <formula>ISERROR($R8)</formula>
    </cfRule>
  </conditionalFormatting>
  <conditionalFormatting sqref="R11:R12">
    <cfRule type="expression" dxfId="72" priority="5">
      <formula>ISERROR($R11)</formula>
    </cfRule>
  </conditionalFormatting>
  <conditionalFormatting sqref="R17">
    <cfRule type="expression" dxfId="71" priority="22">
      <formula>ISERROR($R17)</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9">
        <x14:dataValidation type="list" allowBlank="1" showInputMessage="1" showErrorMessage="1" xr:uid="{BF4AFF3F-CAF9-4BDA-A105-BEA20924D068}">
          <x14:formula1>
            <xm:f>Reference!$A$16:$A$17</xm:f>
          </x14:formula1>
          <xm:sqref>C17:E17 M17 C8:D10 M8:M10</xm:sqref>
        </x14:dataValidation>
        <x14:dataValidation type="list" allowBlank="1" showInputMessage="1" showErrorMessage="1" xr:uid="{DBA39176-6DE4-4E6B-B4C3-98CF0C1EB683}">
          <x14:formula1>
            <xm:f>Reference!$C$62:$C$63</xm:f>
          </x14:formula1>
          <xm:sqref>O17 O8:O10</xm:sqref>
        </x14:dataValidation>
        <x14:dataValidation type="list" allowBlank="1" showInputMessage="1" showErrorMessage="1" xr:uid="{0B9307A6-D37F-4C81-ACEE-02150936303B}">
          <x14:formula1>
            <xm:f>Reference!$A$26:$A$28</xm:f>
          </x14:formula1>
          <xm:sqref>F29 F25 F21</xm:sqref>
        </x14:dataValidation>
        <x14:dataValidation type="list" allowBlank="1" showInputMessage="1" showErrorMessage="1" xr:uid="{3FD44EEB-E021-471F-9A0C-1671DA2A39A2}">
          <x14:formula1>
            <xm:f>Reference!$C$26:$C$30</xm:f>
          </x14:formula1>
          <xm:sqref>AB8</xm:sqref>
        </x14:dataValidation>
        <x14:dataValidation type="list" allowBlank="1" showInputMessage="1" showErrorMessage="1" xr:uid="{A3484BCF-38B5-419C-A698-8D502C612E29}">
          <x14:formula1>
            <xm:f>Reference2!$A$7:$A$9</xm:f>
          </x14:formula1>
          <xm:sqref>H9</xm:sqref>
        </x14:dataValidation>
        <x14:dataValidation type="list" allowBlank="1" showInputMessage="1" showErrorMessage="1" xr:uid="{D29935A6-7FE2-439F-9138-32A5229AF1F9}">
          <x14:formula1>
            <xm:f>Reference2!$U$7:$U$8</xm:f>
          </x14:formula1>
          <xm:sqref>H10</xm:sqref>
        </x14:dataValidation>
        <x14:dataValidation type="list" allowBlank="1" showInputMessage="1" showErrorMessage="1" xr:uid="{26836798-8759-427C-95A1-6762F692EFAB}">
          <x14:formula1>
            <xm:f>Reference2!$AC$7:$AC$10</xm:f>
          </x14:formula1>
          <xm:sqref>H17</xm:sqref>
        </x14:dataValidation>
        <x14:dataValidation type="list" allowBlank="1" showInputMessage="1" showErrorMessage="1" xr:uid="{9AE6CCC2-E3DC-4B31-9E3D-15ADA6CB9800}">
          <x14:formula1>
            <xm:f>Reference3!$A$7:$A$9</xm:f>
          </x14:formula1>
          <xm:sqref>H8</xm:sqref>
        </x14:dataValidation>
        <x14:dataValidation type="list" allowBlank="1" showInputMessage="1" showErrorMessage="1" xr:uid="{75E46935-7EB1-4F21-B81D-FC86E6E92E93}">
          <x14:formula1>
            <xm:f>Reference2!$C$7:$C$7</xm:f>
          </x14:formula1>
          <xm:sqref>I8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A8E1F-AB21-4CE0-929F-5BB600767F85}">
  <sheetPr>
    <tabColor rgb="FFE1F0FF"/>
  </sheetPr>
  <dimension ref="A1:AF104"/>
  <sheetViews>
    <sheetView showGridLines="0" showRowColHeaders="0" zoomScaleNormal="100" workbookViewId="0">
      <selection activeCell="F8" sqref="F8"/>
    </sheetView>
  </sheetViews>
  <sheetFormatPr defaultRowHeight="15" x14ac:dyDescent="0.25"/>
  <cols>
    <col min="1" max="1" width="2.28515625" customWidth="1"/>
    <col min="2" max="2" width="8.42578125" customWidth="1"/>
    <col min="3" max="3" width="2.28515625" customWidth="1"/>
    <col min="4" max="4" width="16.28515625" customWidth="1"/>
    <col min="5" max="5" width="2.5703125" customWidth="1"/>
    <col min="6" max="6" width="16.28515625" customWidth="1"/>
    <col min="7" max="7" width="2.5703125" customWidth="1"/>
    <col min="8" max="8" width="29.5703125" customWidth="1"/>
    <col min="9" max="9" width="2.28515625" customWidth="1"/>
    <col min="10" max="10" width="18.28515625" customWidth="1"/>
    <col min="11" max="11" width="2.5703125" customWidth="1"/>
    <col min="12" max="12" width="20.28515625" customWidth="1"/>
    <col min="13" max="13" width="2.5703125" customWidth="1"/>
    <col min="14" max="14" width="11.42578125" customWidth="1"/>
    <col min="15" max="15" width="2.42578125" customWidth="1"/>
    <col min="16" max="17" width="20.28515625" customWidth="1"/>
    <col min="18" max="18" width="11.42578125" customWidth="1"/>
    <col min="19" max="19" width="2.42578125" customWidth="1"/>
    <col min="20" max="20" width="59.140625" customWidth="1"/>
    <col min="22" max="22" width="17.140625" customWidth="1"/>
    <col min="23" max="23" width="11" customWidth="1"/>
    <col min="24" max="24" width="17.140625" customWidth="1"/>
    <col min="25" max="25" width="14.28515625" customWidth="1"/>
    <col min="26" max="26" width="12.28515625" customWidth="1"/>
    <col min="27" max="27" width="11.42578125" customWidth="1"/>
    <col min="28" max="28" width="2.5703125" customWidth="1"/>
    <col min="29" max="30" width="11.42578125" customWidth="1"/>
    <col min="31" max="31" width="2.5703125" customWidth="1"/>
    <col min="32" max="33" width="11.42578125" customWidth="1"/>
  </cols>
  <sheetData>
    <row r="1" spans="1:31" ht="31.5" x14ac:dyDescent="0.5">
      <c r="B1" s="205" t="s">
        <v>186</v>
      </c>
      <c r="C1" s="45"/>
      <c r="D1" s="45"/>
    </row>
    <row r="3" spans="1:31" ht="19.5" x14ac:dyDescent="0.35">
      <c r="B3" s="209" t="s">
        <v>187</v>
      </c>
    </row>
    <row r="4" spans="1:31" ht="19.5" x14ac:dyDescent="0.35">
      <c r="B4" s="209" t="s">
        <v>188</v>
      </c>
    </row>
    <row r="5" spans="1:31" ht="19.5" x14ac:dyDescent="0.35">
      <c r="B5" s="209" t="s">
        <v>189</v>
      </c>
    </row>
    <row r="7" spans="1:31" ht="30" x14ac:dyDescent="0.25">
      <c r="F7" t="s">
        <v>190</v>
      </c>
      <c r="L7" s="129" t="s">
        <v>191</v>
      </c>
    </row>
    <row r="8" spans="1:31" x14ac:dyDescent="0.25">
      <c r="B8" t="s">
        <v>192</v>
      </c>
      <c r="F8" s="218" t="s">
        <v>68</v>
      </c>
      <c r="H8" s="8" t="str">
        <f>IF(AND(F8="Y",F9="N",F10="N"),"This option will be shown in graph",IF(AND(F8="N",F9="N",F10="N"),"To run an option, select Y in one of the three boxes",IF(OR(AND(F8="Y", F9="Y"),AND(F8="Y", F10="Y")),"This option will be shown in graph","")))</f>
        <v>To run an option, select Y in one of the three boxes</v>
      </c>
      <c r="L8" s="130">
        <f>F22</f>
        <v>112.3</v>
      </c>
      <c r="M8" s="7" t="str">
        <f>H22</f>
        <v>This approach with the current settings WILL NOT meet the original 100 amp target.</v>
      </c>
    </row>
    <row r="9" spans="1:31" x14ac:dyDescent="0.25">
      <c r="B9" t="s">
        <v>193</v>
      </c>
      <c r="F9" s="218" t="s">
        <v>68</v>
      </c>
      <c r="H9" s="8" t="str">
        <f>IF(AND(F9="Y",F8="N",F10="N"),"This option will be shown in graph", IF(AND(F8="Y", F9="Y"),"This will NOT be calculated",IF(AND(F9="Y",F10="Y"),"This option will be shown in graph","")))</f>
        <v/>
      </c>
      <c r="L9" s="130">
        <f>F31</f>
        <v>87.716666666666669</v>
      </c>
      <c r="M9" s="7" t="str">
        <f>H31</f>
        <v>This approach will meet the 100 amp target.</v>
      </c>
    </row>
    <row r="10" spans="1:31" x14ac:dyDescent="0.25">
      <c r="B10" t="s">
        <v>194</v>
      </c>
      <c r="F10" s="218" t="s">
        <v>68</v>
      </c>
      <c r="H10" s="8" t="str">
        <f>IF(AND(F10="Y",F8="N",F9="N"),"This option will be shown in graph",IF(OR(AND(F10="Y", F9="Y"),AND(F10="Y", F8="Y")),"This will NOT be calculated",""))</f>
        <v/>
      </c>
      <c r="L10" s="130">
        <f>F72</f>
        <v>87.716666666666669</v>
      </c>
      <c r="M10" s="7" t="str">
        <f>H72</f>
        <v>This approach will meet the 100 amp target.</v>
      </c>
    </row>
    <row r="11" spans="1:31" s="5" customFormat="1" ht="15.75" thickBot="1" x14ac:dyDescent="0.3"/>
    <row r="12" spans="1:31" s="185" customFormat="1" ht="3.75" customHeight="1" x14ac:dyDescent="0.25">
      <c r="B12" s="186"/>
      <c r="C12" s="186"/>
      <c r="D12" s="186"/>
      <c r="E12" s="186"/>
      <c r="H12" s="186"/>
      <c r="I12" s="186"/>
      <c r="J12" s="187"/>
      <c r="K12" s="188"/>
      <c r="L12" s="189"/>
      <c r="M12" s="186"/>
      <c r="O12" s="186"/>
      <c r="P12" s="186"/>
      <c r="R12" s="190"/>
      <c r="S12" s="186"/>
      <c r="T12" s="191"/>
      <c r="U12" s="190"/>
      <c r="V12" s="190"/>
      <c r="W12" s="186"/>
      <c r="X12" s="186"/>
      <c r="Y12" s="191"/>
      <c r="Z12" s="186"/>
      <c r="AA12" s="186"/>
      <c r="AB12" s="186"/>
      <c r="AC12" s="186"/>
      <c r="AD12" s="186"/>
      <c r="AE12" s="186"/>
    </row>
    <row r="13" spans="1:31" ht="18.75" x14ac:dyDescent="0.3">
      <c r="B13" s="3"/>
      <c r="C13" s="3"/>
      <c r="D13" s="3"/>
      <c r="F13" s="52"/>
    </row>
    <row r="14" spans="1:31" ht="18.75" x14ac:dyDescent="0.3">
      <c r="B14" s="3"/>
      <c r="C14" s="3"/>
      <c r="D14" s="3"/>
      <c r="F14" s="52"/>
    </row>
    <row r="15" spans="1:31" ht="21" x14ac:dyDescent="0.35">
      <c r="A15" s="3"/>
      <c r="B15" s="208" t="s">
        <v>195</v>
      </c>
      <c r="C15" s="52"/>
      <c r="D15" s="52"/>
    </row>
    <row r="16" spans="1:31" ht="134.25" customHeight="1" x14ac:dyDescent="0.25">
      <c r="A16" s="3"/>
      <c r="F16" s="3"/>
      <c r="G16" s="3"/>
    </row>
    <row r="17" spans="1:31" ht="45" x14ac:dyDescent="0.25">
      <c r="B17" s="4" t="s">
        <v>108</v>
      </c>
      <c r="C17" s="4"/>
      <c r="D17" s="4"/>
      <c r="F17" s="4" t="s">
        <v>196</v>
      </c>
      <c r="J17" s="43" t="s">
        <v>197</v>
      </c>
      <c r="L17" s="4"/>
      <c r="M17" s="3"/>
      <c r="N17" s="43" t="s">
        <v>56</v>
      </c>
      <c r="O17" s="4"/>
      <c r="P17" s="43" t="s">
        <v>48</v>
      </c>
      <c r="Q17" s="43" t="s">
        <v>127</v>
      </c>
      <c r="R17" s="43" t="s">
        <v>56</v>
      </c>
    </row>
    <row r="18" spans="1:31" x14ac:dyDescent="0.25">
      <c r="B18" s="17" t="str">
        <f>'Existing Systems and Loads'!B29</f>
        <v>Y</v>
      </c>
      <c r="C18" s="3"/>
      <c r="D18" s="3"/>
      <c r="E18" s="3"/>
      <c r="F18" s="218" t="s">
        <v>57</v>
      </c>
      <c r="G18" s="3"/>
      <c r="H18" t="s">
        <v>87</v>
      </c>
      <c r="J18" s="218" t="s">
        <v>198</v>
      </c>
      <c r="L18" s="3"/>
      <c r="N18" s="60">
        <f>IF(LEFT($J18,4)="Init", 'Electrification Upgrades'!V37,'Opt. 1 - Low-Power Appliances'!V33)</f>
        <v>12000</v>
      </c>
      <c r="O18" s="3"/>
      <c r="P18" s="60" t="str">
        <f>IF(LEFT($J18,4)="Init", 'Electrification Upgrades'!T37,'Opt. 1 - Low-Power Appliances'!T33)</f>
        <v>50 Amp</v>
      </c>
      <c r="Q18" s="60" t="str">
        <f>IF(LEFT($J18,4)="Init", 'Electrification Upgrades'!U37,'Opt. 1 - Low-Power Appliances'!U33)</f>
        <v>Electric</v>
      </c>
      <c r="R18" s="60">
        <f>IF(LEFT($J18,4)="Init", 'Electrification Upgrades'!V37,'Opt. 1 - Low-Power Appliances'!V33)</f>
        <v>12000</v>
      </c>
      <c r="S18" s="3"/>
      <c r="T18" s="27" t="s">
        <v>89</v>
      </c>
      <c r="U18" s="3"/>
      <c r="V18" s="3"/>
      <c r="W18" s="3"/>
      <c r="X18" s="3"/>
      <c r="Y18" s="3"/>
      <c r="Z18" s="3"/>
      <c r="AA18" s="3"/>
    </row>
    <row r="19" spans="1:31" x14ac:dyDescent="0.25">
      <c r="A19" s="3"/>
    </row>
    <row r="20" spans="1:31" x14ac:dyDescent="0.25">
      <c r="B20" s="17" t="str">
        <f>'Existing Systems and Loads'!B22</f>
        <v>Y</v>
      </c>
      <c r="C20" s="3"/>
      <c r="D20" s="3"/>
      <c r="E20" s="3"/>
      <c r="F20" s="3"/>
      <c r="G20" s="3"/>
      <c r="H20" t="s">
        <v>73</v>
      </c>
      <c r="J20" s="218" t="s">
        <v>199</v>
      </c>
      <c r="L20" s="3"/>
      <c r="N20" s="60">
        <f>IF(LEFT($J20,4)="Init", 'Electrification Upgrades'!V30,'Opt. 1 - Low-Power Appliances'!V14)</f>
        <v>4000</v>
      </c>
      <c r="O20" s="3"/>
      <c r="P20" s="60" t="str">
        <f>IF($F$18="N",'Opt. 1 - Low-Power Appliances'!T14,"Not counted - circuit share")</f>
        <v>Not counted - circuit share</v>
      </c>
      <c r="Q20" s="60" t="str">
        <f>IF($F$18="N",'Opt. 1 - Low-Power Appliances'!U14,"")</f>
        <v/>
      </c>
      <c r="R20" s="60" t="str">
        <f>IF($F$18="N",'Opt. 1 - Low-Power Appliances'!V14,"")</f>
        <v/>
      </c>
      <c r="S20" s="3"/>
      <c r="T20" s="27"/>
      <c r="U20" s="3"/>
      <c r="V20" s="3"/>
      <c r="W20" s="3"/>
      <c r="X20" s="3"/>
      <c r="Y20" s="3"/>
      <c r="Z20" s="3"/>
      <c r="AA20" s="3"/>
    </row>
    <row r="21" spans="1:31" x14ac:dyDescent="0.25">
      <c r="A21" s="3"/>
    </row>
    <row r="22" spans="1:31" x14ac:dyDescent="0.25">
      <c r="A22" s="3"/>
      <c r="D22" s="121" t="s">
        <v>200</v>
      </c>
      <c r="F22" s="122">
        <f>'Panel Load - Opt3a'!H65</f>
        <v>112.3</v>
      </c>
      <c r="H22" s="6" t="str">
        <f>IF(SUM('Panel Load - Opt3a'!$K$65:$L$65)&gt;'Panel Load - Opt3a'!$H$67,"This approach with the current settings WILL NOT meet the original "&amp;'Panel Load - Opt3a'!$H$67&amp;" amp target.","This approach will meet the "&amp;'Panel Load - Opt3a'!$H$67&amp;" amp target.")</f>
        <v>This approach with the current settings WILL NOT meet the original 100 amp target.</v>
      </c>
    </row>
    <row r="23" spans="1:31" s="5" customFormat="1" ht="15.75" thickBot="1" x14ac:dyDescent="0.3"/>
    <row r="24" spans="1:31" s="185" customFormat="1" ht="3.75" customHeight="1" x14ac:dyDescent="0.25">
      <c r="B24" s="186"/>
      <c r="C24" s="186"/>
      <c r="D24" s="186"/>
      <c r="E24" s="186"/>
      <c r="H24" s="186"/>
      <c r="I24" s="186"/>
      <c r="J24" s="187"/>
      <c r="K24" s="188"/>
      <c r="L24" s="189"/>
      <c r="M24" s="186"/>
      <c r="O24" s="186"/>
      <c r="P24" s="186"/>
      <c r="R24" s="190"/>
      <c r="S24" s="186"/>
      <c r="T24" s="191"/>
      <c r="U24" s="190"/>
      <c r="V24" s="190"/>
      <c r="W24" s="186"/>
      <c r="X24" s="186"/>
      <c r="Y24" s="191"/>
      <c r="Z24" s="186"/>
      <c r="AA24" s="186"/>
      <c r="AB24" s="186"/>
      <c r="AC24" s="186"/>
      <c r="AD24" s="186"/>
      <c r="AE24" s="186"/>
    </row>
    <row r="25" spans="1:31" x14ac:dyDescent="0.25">
      <c r="A25" s="3"/>
    </row>
    <row r="26" spans="1:31" ht="21" x14ac:dyDescent="0.35">
      <c r="A26" s="3"/>
      <c r="B26" s="208" t="s">
        <v>201</v>
      </c>
    </row>
    <row r="27" spans="1:31" ht="123" customHeight="1" x14ac:dyDescent="0.25">
      <c r="A27" s="3"/>
    </row>
    <row r="28" spans="1:31" ht="45" x14ac:dyDescent="0.25">
      <c r="B28" s="4" t="s">
        <v>108</v>
      </c>
      <c r="C28" s="4"/>
      <c r="D28" s="4" t="s">
        <v>202</v>
      </c>
      <c r="F28" s="4" t="s">
        <v>203</v>
      </c>
      <c r="J28" s="43" t="s">
        <v>197</v>
      </c>
      <c r="L28" s="4"/>
      <c r="M28" s="3"/>
      <c r="N28" s="4"/>
      <c r="O28" s="4"/>
      <c r="P28" s="43" t="s">
        <v>48</v>
      </c>
      <c r="Q28" s="43" t="s">
        <v>127</v>
      </c>
      <c r="R28" s="43" t="s">
        <v>56</v>
      </c>
    </row>
    <row r="29" spans="1:31" x14ac:dyDescent="0.25">
      <c r="B29" s="17" t="str">
        <f>'Existing Systems and Loads'!B29</f>
        <v>Y</v>
      </c>
      <c r="C29" s="3"/>
      <c r="D29" s="44" t="str">
        <f>IF('Electrification Upgrades'!D37="Y","Y",IF('Electrification Upgrades'!B37="Y","Y","N"))</f>
        <v>Y</v>
      </c>
      <c r="E29" s="3"/>
      <c r="F29" s="218" t="s">
        <v>57</v>
      </c>
      <c r="G29" s="3"/>
      <c r="H29" t="s">
        <v>87</v>
      </c>
      <c r="J29" s="218" t="s">
        <v>198</v>
      </c>
      <c r="L29" s="3"/>
      <c r="N29" s="61"/>
      <c r="O29" s="3"/>
      <c r="P29" s="60" t="str">
        <f>IF(LEFT($J29,4)="Init",'Electrification Upgrades'!T37,'Opt. 1 - Low-Power Appliances'!T33)</f>
        <v>50 Amp</v>
      </c>
      <c r="Q29" s="60" t="str">
        <f>IF(LEFT($J29,4)="Init",'Electrification Upgrades'!U37,'Opt. 1 - Low-Power Appliances'!U33)</f>
        <v>Electric</v>
      </c>
      <c r="R29" s="60">
        <f>IF(F29="Y",0,IF(LEFT($J29,4)="Init",'Electrification Upgrades'!V37,'Opt. 1 - Low-Power Appliances'!V33))</f>
        <v>0</v>
      </c>
      <c r="S29" s="3"/>
      <c r="T29" s="27" t="s">
        <v>89</v>
      </c>
      <c r="U29" s="3"/>
      <c r="V29" s="3"/>
      <c r="W29" s="3"/>
      <c r="X29" s="3"/>
      <c r="Y29" s="3"/>
      <c r="Z29" s="3"/>
      <c r="AA29" s="3"/>
    </row>
    <row r="30" spans="1:31" x14ac:dyDescent="0.25">
      <c r="A30" s="3"/>
    </row>
    <row r="31" spans="1:31" x14ac:dyDescent="0.25">
      <c r="A31" s="3"/>
      <c r="D31" s="121" t="s">
        <v>200</v>
      </c>
      <c r="F31" s="123">
        <f>'Panel Load - Opt3b'!H65</f>
        <v>87.716666666666669</v>
      </c>
      <c r="H31" s="6" t="str">
        <f>IF(SUM('Panel Load - Opt3b'!$K$65:$L$65)&gt;'Panel Load - Opt3b'!$H$67,"This approach with the current settings WILL NOT meet the original "&amp;'Panel Load - Opt3b'!$H$67&amp;" amp target.","This approach will meet the "&amp;'Panel Load - Opt3b'!$H$67&amp;" amp target.")</f>
        <v>This approach will meet the 100 amp target.</v>
      </c>
    </row>
    <row r="32" spans="1:31" x14ac:dyDescent="0.25">
      <c r="A32" s="3"/>
    </row>
    <row r="33" spans="1:32" s="5" customFormat="1" ht="15.75" thickBot="1" x14ac:dyDescent="0.3"/>
    <row r="34" spans="1:32" s="185" customFormat="1" ht="3.75" customHeight="1" x14ac:dyDescent="0.25">
      <c r="B34" s="186"/>
      <c r="C34" s="186"/>
      <c r="D34" s="186"/>
      <c r="E34" s="186"/>
      <c r="H34" s="186"/>
      <c r="I34" s="186"/>
      <c r="J34" s="187"/>
      <c r="K34" s="188"/>
      <c r="L34" s="189"/>
      <c r="M34" s="186"/>
      <c r="O34" s="186"/>
      <c r="P34" s="186"/>
      <c r="R34" s="190"/>
      <c r="S34" s="186"/>
      <c r="T34" s="191"/>
      <c r="U34" s="190"/>
      <c r="V34" s="190"/>
      <c r="W34" s="186"/>
      <c r="X34" s="186"/>
      <c r="Y34" s="191"/>
      <c r="Z34" s="186"/>
      <c r="AA34" s="186"/>
      <c r="AB34" s="186"/>
      <c r="AC34" s="186"/>
      <c r="AD34" s="186"/>
      <c r="AE34" s="186"/>
    </row>
    <row r="35" spans="1:32" ht="12.95" customHeight="1" x14ac:dyDescent="0.25">
      <c r="B35" s="3"/>
      <c r="C35" s="3"/>
      <c r="D35" s="3"/>
      <c r="E35" s="3"/>
      <c r="H35" s="3"/>
      <c r="I35" s="3"/>
      <c r="J35" s="90"/>
      <c r="K35" s="65"/>
      <c r="L35" s="80"/>
      <c r="M35" s="3"/>
      <c r="O35" s="3"/>
      <c r="P35" s="3"/>
      <c r="R35" s="61"/>
      <c r="S35" s="3"/>
      <c r="T35" s="27"/>
      <c r="U35" s="61"/>
      <c r="V35" s="61"/>
      <c r="W35" s="3"/>
      <c r="X35" s="3"/>
      <c r="Y35" s="27"/>
      <c r="Z35" s="3"/>
      <c r="AA35" s="3"/>
      <c r="AB35" s="3"/>
      <c r="AC35" s="3"/>
      <c r="AD35" s="3"/>
      <c r="AE35" s="3"/>
    </row>
    <row r="36" spans="1:32" ht="21" x14ac:dyDescent="0.35">
      <c r="A36" s="3"/>
      <c r="B36" s="208" t="s">
        <v>204</v>
      </c>
      <c r="C36" s="52"/>
      <c r="D36" s="52"/>
    </row>
    <row r="37" spans="1:32" ht="207" customHeight="1" x14ac:dyDescent="0.25"/>
    <row r="38" spans="1:32" x14ac:dyDescent="0.25">
      <c r="J38" s="3"/>
      <c r="K38" s="3"/>
      <c r="L38" s="3"/>
      <c r="M38" s="3"/>
      <c r="P38" s="12" t="s">
        <v>123</v>
      </c>
      <c r="Q38" s="12"/>
      <c r="R38" s="12"/>
      <c r="T38" s="23"/>
      <c r="AE38" s="231"/>
      <c r="AF38" s="231"/>
    </row>
    <row r="39" spans="1:32" ht="90" x14ac:dyDescent="0.25">
      <c r="B39" s="4" t="s">
        <v>108</v>
      </c>
      <c r="C39" s="4"/>
      <c r="D39" s="4" t="s">
        <v>202</v>
      </c>
      <c r="E39" s="4"/>
      <c r="F39" s="4" t="s">
        <v>205</v>
      </c>
      <c r="G39" s="4"/>
      <c r="H39" t="s">
        <v>47</v>
      </c>
      <c r="J39" s="43" t="s">
        <v>206</v>
      </c>
      <c r="K39" s="4"/>
      <c r="L39" s="4"/>
      <c r="M39" s="4"/>
      <c r="P39" s="43" t="s">
        <v>48</v>
      </c>
      <c r="Q39" s="43" t="s">
        <v>127</v>
      </c>
      <c r="R39" s="43" t="s">
        <v>56</v>
      </c>
      <c r="T39" s="47"/>
      <c r="U39" s="3"/>
      <c r="V39" s="4"/>
      <c r="W39" s="3"/>
      <c r="X39" s="4"/>
      <c r="Y39" s="4"/>
      <c r="Z39" s="4"/>
      <c r="AB39" s="4"/>
      <c r="AC39" s="4"/>
      <c r="AD39" s="3"/>
      <c r="AE39" s="4"/>
      <c r="AF39" s="4"/>
    </row>
    <row r="40" spans="1:32" x14ac:dyDescent="0.25">
      <c r="B40" s="17" t="str">
        <f>'Existing Systems and Loads'!B16</f>
        <v>Y</v>
      </c>
      <c r="C40" s="3"/>
      <c r="D40" s="44" t="str">
        <f>IF('Electrification Upgrades'!D24="Y","Y",IF('Electrification Upgrades'!B24="Y","Y","N"))</f>
        <v>Y</v>
      </c>
      <c r="E40" s="3"/>
      <c r="F40" s="239" t="s">
        <v>207</v>
      </c>
      <c r="G40" s="3"/>
      <c r="H40" t="s">
        <v>58</v>
      </c>
      <c r="J40" s="242" t="s">
        <v>208</v>
      </c>
      <c r="K40" s="3"/>
      <c r="L40" s="125" t="s">
        <v>209</v>
      </c>
      <c r="M40" s="61"/>
      <c r="P40" s="60" t="str">
        <f>IF($F$40="No",IF(LEFT($J$40,4)="HVAC",'Opt. 2 - Right-Size HVAC'!T8,'Electrification Upgrades'!T24),"")</f>
        <v>Central forced air</v>
      </c>
      <c r="Q40" s="60" t="str">
        <f>IF($F$40="No",IF(LEFT($J$40,4)="HVAC",'Opt. 2 - Right-Size HVAC'!U8,'Electrification Upgrades'!U24),"")</f>
        <v>Electric - Heat Pump</v>
      </c>
      <c r="R40" s="60">
        <f>IF($F$40="No",IF(LEFT($J$40,4)="HVAC",'Opt. 2 - Right-Size HVAC'!V8,'Electrification Upgrades'!V24),"")</f>
        <v>4800</v>
      </c>
      <c r="S40" s="27"/>
      <c r="T40" s="3"/>
      <c r="U40" s="3"/>
      <c r="V40" s="3"/>
      <c r="W40" s="3"/>
      <c r="X40" s="3"/>
      <c r="Y40" s="3"/>
      <c r="Z40" s="3"/>
    </row>
    <row r="41" spans="1:32" x14ac:dyDescent="0.25">
      <c r="B41" s="17" t="str">
        <f>'Existing Systems and Loads'!B17</f>
        <v>Y</v>
      </c>
      <c r="C41" s="3"/>
      <c r="D41" s="44" t="str">
        <f>IF('Electrification Upgrades'!D25="Y","Y",IF('Electrification Upgrades'!B25="Y","Y","N"))</f>
        <v>Y</v>
      </c>
      <c r="E41" s="3"/>
      <c r="F41" s="240"/>
      <c r="G41" s="3"/>
      <c r="H41" t="s">
        <v>149</v>
      </c>
      <c r="J41" s="243"/>
      <c r="K41" s="3"/>
      <c r="L41" s="125" t="s">
        <v>209</v>
      </c>
      <c r="M41" s="3"/>
      <c r="P41" s="60" t="str">
        <f>IF($F$40="No",IF(LEFT($J$40,4)="HVAC",'Opt. 2 - Right-Size HVAC'!T9,'Electrification Upgrades'!T25),"")</f>
        <v/>
      </c>
      <c r="Q41" s="60" t="str">
        <f>IF($F$40="No",IF(LEFT($J$40,4)="HVAC",'Opt. 2 - Right-Size HVAC'!U9,'Electrification Upgrades'!U25),"")</f>
        <v/>
      </c>
      <c r="R41" s="60" t="str">
        <f>IF($F$40="No",IF(LEFT($J$40,4)="HVAC",'Opt. 2 - Right-Size HVAC'!V9,'Electrification Upgrades'!V25),"")</f>
        <v/>
      </c>
      <c r="S41" s="27"/>
      <c r="T41" s="3"/>
      <c r="U41" s="3"/>
      <c r="V41" s="3"/>
      <c r="W41" s="3"/>
      <c r="X41" s="3"/>
      <c r="Y41" s="3"/>
      <c r="Z41" s="3"/>
    </row>
    <row r="42" spans="1:32" x14ac:dyDescent="0.25">
      <c r="B42" s="17" t="str">
        <f>'Existing Systems and Loads'!B18</f>
        <v>Y</v>
      </c>
      <c r="C42" s="3"/>
      <c r="D42" s="44" t="str">
        <f>IF('Electrification Upgrades'!D26="Y","Y",IF('Electrification Upgrades'!B26="Y","Y","N"))</f>
        <v>Y</v>
      </c>
      <c r="E42" s="3"/>
      <c r="F42" s="240"/>
      <c r="G42" s="3"/>
      <c r="H42" t="s">
        <v>65</v>
      </c>
      <c r="J42" s="243"/>
      <c r="K42" s="3"/>
      <c r="L42" s="125" t="s">
        <v>209</v>
      </c>
      <c r="M42" s="3"/>
      <c r="P42" s="60" t="str">
        <f>IF($F$40="No",IF(LEFT($J$40,4)="HVAC",'Opt. 2 - Right-Size HVAC'!T10,'Electrification Upgrades'!T26),"")</f>
        <v>Air Handler</v>
      </c>
      <c r="Q42" s="60" t="str">
        <f>IF($F$40="No",IF(LEFT($J$40,4)="HVAC",'Opt. 2 - Right-Size HVAC'!U10,'Electrification Upgrades'!U26),"")</f>
        <v>Electric</v>
      </c>
      <c r="R42" s="60">
        <f>IF($F$40="No",IF(LEFT($J$40,4)="HVAC",'Opt. 2 - Right-Size HVAC'!V10,'Electrification Upgrades'!V26),"")</f>
        <v>500</v>
      </c>
      <c r="S42" s="27"/>
      <c r="T42" s="3"/>
      <c r="U42" s="3"/>
      <c r="V42" s="3"/>
      <c r="W42" s="3"/>
      <c r="X42" s="3"/>
      <c r="Y42" s="3"/>
      <c r="Z42" s="3"/>
    </row>
    <row r="43" spans="1:32" x14ac:dyDescent="0.25">
      <c r="B43" s="17" t="str">
        <f>'Existing Systems and Loads'!B19</f>
        <v>N</v>
      </c>
      <c r="C43" s="3"/>
      <c r="D43" s="44" t="str">
        <f>IF('Electrification Upgrades'!D27="Y","Y",IF('Electrification Upgrades'!B27="Y","Y","N"))</f>
        <v>N</v>
      </c>
      <c r="E43" s="3"/>
      <c r="F43" s="241"/>
      <c r="G43" s="3"/>
      <c r="H43" t="s">
        <v>150</v>
      </c>
      <c r="J43" s="244"/>
      <c r="K43" s="3"/>
      <c r="L43" s="125" t="s">
        <v>209</v>
      </c>
      <c r="M43" s="3"/>
      <c r="P43" s="60" t="str">
        <f>IF($F$40="No",IF(LEFT($J$40,4)="HVAC",'Opt. 2 - Right-Size HVAC'!T17,'Electrification Upgrades'!T27),"")</f>
        <v/>
      </c>
      <c r="Q43" s="60" t="str">
        <f>IF($F$40="No",IF(LEFT($J$40,4)="HVAC",'Opt. 2 - Right-Size HVAC'!U17,'Electrification Upgrades'!U27),"")</f>
        <v/>
      </c>
      <c r="R43" s="60" t="str">
        <f>IF($F$40="No",IF(LEFT($J$40,4)="HVAC",'Opt. 2 - Right-Size HVAC'!V17,'Electrification Upgrades'!V27),"")</f>
        <v/>
      </c>
      <c r="S43" s="27"/>
      <c r="T43" s="3"/>
      <c r="U43" s="3"/>
      <c r="V43" s="3"/>
      <c r="W43" s="3"/>
      <c r="X43" s="3"/>
      <c r="Y43" s="3"/>
      <c r="Z43" s="3"/>
    </row>
    <row r="44" spans="1:32" ht="6" customHeight="1" x14ac:dyDescent="0.25">
      <c r="B44" s="26"/>
      <c r="C44" s="3"/>
      <c r="D44" s="3"/>
      <c r="E44" s="3"/>
      <c r="F44" s="26"/>
      <c r="G44" s="3"/>
      <c r="J44" s="3"/>
      <c r="K44" s="3"/>
      <c r="L44" s="65"/>
      <c r="M44" s="3"/>
      <c r="P44" s="79"/>
      <c r="Q44" s="79"/>
      <c r="R44" s="79"/>
      <c r="S44" s="27"/>
      <c r="T44" s="3"/>
      <c r="U44" s="3"/>
      <c r="V44" s="3"/>
      <c r="W44" s="3"/>
      <c r="X44" s="3"/>
      <c r="Y44" s="3"/>
      <c r="Z44" s="3"/>
    </row>
    <row r="45" spans="1:32" x14ac:dyDescent="0.25">
      <c r="B45" s="17" t="str">
        <f>'Existing Systems and Loads'!B21</f>
        <v>Y</v>
      </c>
      <c r="C45" s="3"/>
      <c r="D45" s="44" t="str">
        <f>IF('Electrification Upgrades'!D29="Y","Y",IF('Electrification Upgrades'!B29="Y","Y","N"))</f>
        <v>Y</v>
      </c>
      <c r="E45" s="3"/>
      <c r="F45" s="218" t="s">
        <v>207</v>
      </c>
      <c r="G45" s="3"/>
      <c r="H45" s="47" t="s">
        <v>71</v>
      </c>
      <c r="J45" s="245" t="s">
        <v>199</v>
      </c>
      <c r="K45" s="3"/>
      <c r="L45" s="65"/>
      <c r="M45" s="3"/>
      <c r="P45" s="60" t="str">
        <f>IF($F45="Yes","",IF(LEFT($J$45,4)="Init",'Electrification Upgrades'!T29,'Opt. 1 - Low-Power Appliances'!T13))</f>
        <v>Side by Side Full size</v>
      </c>
      <c r="Q45" s="60" t="str">
        <f>IF($F45="Yes","",IF(LEFT($J$45,4)="Init",'Electrification Upgrades'!U29,'Opt. 1 - Low-Power Appliances'!U13))</f>
        <v>Electric</v>
      </c>
      <c r="R45" s="60">
        <f>IF($F45="Yes","",IF(LEFT($J$45,4)="Init",'Electrification Upgrades'!V29,'Opt. 1 - Low-Power Appliances'!V13))</f>
        <v>480</v>
      </c>
      <c r="S45" s="27"/>
      <c r="T45" s="124"/>
      <c r="U45" s="3"/>
      <c r="V45" s="3"/>
      <c r="W45" s="3"/>
      <c r="X45" s="3"/>
      <c r="Y45" s="3"/>
      <c r="Z45" s="3"/>
    </row>
    <row r="46" spans="1:32" x14ac:dyDescent="0.25">
      <c r="B46" s="17" t="str">
        <f>'Existing Systems and Loads'!B22</f>
        <v>Y</v>
      </c>
      <c r="C46" s="3"/>
      <c r="D46" s="44" t="str">
        <f>IF('Electrification Upgrades'!D30="Y","Y",IF('Electrification Upgrades'!B30="Y","Y","N"))</f>
        <v>Y</v>
      </c>
      <c r="E46" s="3"/>
      <c r="F46" s="218" t="s">
        <v>207</v>
      </c>
      <c r="G46" s="3"/>
      <c r="H46" t="s">
        <v>73</v>
      </c>
      <c r="J46" s="245"/>
      <c r="K46" s="3"/>
      <c r="L46" s="65"/>
      <c r="M46" s="3"/>
      <c r="P46" s="60" t="str">
        <f>IF($F46="Yes","",IF(LEFT($J$45,4)="Init",'Electrification Upgrades'!T30,'Opt. 1 - Low-Power Appliances'!T14))</f>
        <v>Side by Side Full size</v>
      </c>
      <c r="Q46" s="60" t="str">
        <f>IF($F46="Yes","",IF(LEFT($J$45,4)="Init",'Electrification Upgrades'!U30,'Opt. 1 - Low-Power Appliances'!U14))</f>
        <v>Electric - Heat Pump</v>
      </c>
      <c r="R46" s="60">
        <f>IF($F46="Yes","",IF(LEFT($J$45,4)="Init",'Electrification Upgrades'!V30,'Opt. 1 - Low-Power Appliances'!V14))</f>
        <v>4000</v>
      </c>
      <c r="S46" s="27"/>
      <c r="T46" s="3"/>
      <c r="U46" s="3"/>
      <c r="V46" s="3"/>
      <c r="W46" s="3"/>
      <c r="X46" s="3"/>
      <c r="Y46" s="3"/>
      <c r="Z46" s="3"/>
    </row>
    <row r="47" spans="1:32" x14ac:dyDescent="0.25">
      <c r="B47" s="17" t="str">
        <f>'Existing Systems and Loads'!B23</f>
        <v>Y</v>
      </c>
      <c r="C47" s="3"/>
      <c r="D47" s="44" t="str">
        <f>IF('Electrification Upgrades'!D31="Y","Y",IF('Electrification Upgrades'!B31="Y","Y","N"))</f>
        <v>Y</v>
      </c>
      <c r="E47" s="3"/>
      <c r="F47" s="218" t="s">
        <v>207</v>
      </c>
      <c r="G47" s="3"/>
      <c r="H47" t="s">
        <v>76</v>
      </c>
      <c r="J47" s="245" t="s">
        <v>199</v>
      </c>
      <c r="K47" s="3"/>
      <c r="L47" s="125" t="s">
        <v>209</v>
      </c>
      <c r="M47" s="3"/>
      <c r="P47" s="60" t="str">
        <f>IF($F47="YES","",IF(LEFT($J$47,4)="Init",'Electrification Upgrades'!T31,'Opt. 1 - Low-Power Appliances'!T22))</f>
        <v>30" CT/Oven</v>
      </c>
      <c r="Q47" s="60" t="str">
        <f>IF($F47="YES","",IF(LEFT($J$47,4)="Init",'Electrification Upgrades'!U31,'Opt. 1 - Low-Power Appliances'!U22))</f>
        <v>Electric - Induction</v>
      </c>
      <c r="R47" s="60">
        <f>IF($F47="YES","",IF(LEFT($J$47,4)="Init",'Electrification Upgrades'!V31,'Opt. 1 - Low-Power Appliances'!V22))</f>
        <v>4800</v>
      </c>
      <c r="S47" s="27"/>
      <c r="T47" s="3"/>
      <c r="U47" s="3"/>
      <c r="V47" s="3"/>
      <c r="W47" s="3"/>
      <c r="X47" s="3"/>
      <c r="Y47" s="3"/>
      <c r="Z47" s="3"/>
    </row>
    <row r="48" spans="1:32" x14ac:dyDescent="0.25">
      <c r="B48" s="17" t="str">
        <f>'Existing Systems and Loads'!B24</f>
        <v>N</v>
      </c>
      <c r="C48" s="3"/>
      <c r="D48" s="44" t="str">
        <f>IF('Electrification Upgrades'!D32="Y","Y",IF('Electrification Upgrades'!B32="Y","Y","N"))</f>
        <v>N</v>
      </c>
      <c r="E48" s="3"/>
      <c r="F48" s="218" t="s">
        <v>207</v>
      </c>
      <c r="G48" s="3"/>
      <c r="H48" s="10" t="s">
        <v>79</v>
      </c>
      <c r="J48" s="245"/>
      <c r="K48" s="3"/>
      <c r="L48" s="125" t="s">
        <v>209</v>
      </c>
      <c r="M48" s="3"/>
      <c r="P48" s="60" t="str">
        <f>IF($F48="YES","",IF(LEFT($J$47,4)="Init",'Electrification Upgrades'!T32,'Opt. 1 - Low-Power Appliances'!T23))</f>
        <v/>
      </c>
      <c r="Q48" s="60" t="str">
        <f>IF($F48="YES","",IF(LEFT($J$47,4)="Init",'Electrification Upgrades'!U32,'Opt. 1 - Low-Power Appliances'!U23))</f>
        <v/>
      </c>
      <c r="R48" s="60" t="str">
        <f>IF($F48="YES","",IF(LEFT($J$47,4)="Init",'Electrification Upgrades'!V32,'Opt. 1 - Low-Power Appliances'!V23))</f>
        <v/>
      </c>
      <c r="S48" s="27"/>
      <c r="T48" s="3"/>
      <c r="U48" s="3"/>
      <c r="V48" s="3"/>
      <c r="W48" s="3"/>
      <c r="X48" s="3"/>
      <c r="Y48" s="3"/>
      <c r="Z48" s="3"/>
    </row>
    <row r="49" spans="2:26" x14ac:dyDescent="0.25">
      <c r="B49" s="17" t="str">
        <f>'Existing Systems and Loads'!B25</f>
        <v>N</v>
      </c>
      <c r="C49" s="3"/>
      <c r="D49" s="44" t="str">
        <f>IF('Electrification Upgrades'!D33="Y","Y",IF('Electrification Upgrades'!B33="Y","Y","N"))</f>
        <v>N</v>
      </c>
      <c r="E49" s="3"/>
      <c r="F49" s="218" t="s">
        <v>207</v>
      </c>
      <c r="G49" s="3"/>
      <c r="H49" s="10" t="s">
        <v>81</v>
      </c>
      <c r="J49" s="245"/>
      <c r="K49" s="3"/>
      <c r="L49" s="125" t="s">
        <v>209</v>
      </c>
      <c r="M49" s="3"/>
      <c r="P49" s="60" t="str">
        <f>IF($F49="YES","",IF(LEFT($J$47,4)="Init",'Electrification Upgrades'!T33,'Opt. 1 - Low-Power Appliances'!T24))</f>
        <v/>
      </c>
      <c r="Q49" s="60" t="str">
        <f>IF($F49="YES","",IF(LEFT($J$47,4)="Init",'Electrification Upgrades'!U33,'Opt. 1 - Low-Power Appliances'!U24))</f>
        <v/>
      </c>
      <c r="R49" s="60" t="str">
        <f>IF($F49="YES","",IF(LEFT($J$47,4)="Init",'Electrification Upgrades'!V33,'Opt. 1 - Low-Power Appliances'!V24))</f>
        <v/>
      </c>
      <c r="S49" s="27"/>
      <c r="T49" s="3"/>
      <c r="U49" s="3"/>
      <c r="V49" s="3"/>
      <c r="W49" s="3"/>
      <c r="X49" s="3"/>
      <c r="Y49" s="3"/>
      <c r="Z49" s="3"/>
    </row>
    <row r="50" spans="2:26" x14ac:dyDescent="0.25">
      <c r="B50" s="17" t="str">
        <f>'Existing Systems and Loads'!B26</f>
        <v>N</v>
      </c>
      <c r="C50" s="3"/>
      <c r="D50" s="44" t="str">
        <f>IF('Electrification Upgrades'!D34="Y","Y",IF('Electrification Upgrades'!B34="Y","Y","N"))</f>
        <v>N</v>
      </c>
      <c r="E50" s="3"/>
      <c r="F50" s="218" t="s">
        <v>207</v>
      </c>
      <c r="G50" s="3"/>
      <c r="H50" s="10" t="s">
        <v>82</v>
      </c>
      <c r="J50" s="245"/>
      <c r="K50" s="3"/>
      <c r="L50" s="125" t="s">
        <v>209</v>
      </c>
      <c r="M50" s="3"/>
      <c r="P50" s="60" t="str">
        <f>IF($F50="YES","",IF(LEFT($J$47,4)="Init",'Electrification Upgrades'!T34,'Opt. 1 - Low-Power Appliances'!T25))</f>
        <v/>
      </c>
      <c r="Q50" s="60" t="str">
        <f>IF($F50="YES","",IF(LEFT($J$47,4)="Init",'Electrification Upgrades'!U34,'Opt. 1 - Low-Power Appliances'!U25))</f>
        <v/>
      </c>
      <c r="R50" s="60" t="str">
        <f>IF($F50="YES","",IF(LEFT($J$47,4)="Init",'Electrification Upgrades'!V34,'Opt. 1 - Low-Power Appliances'!V25))</f>
        <v/>
      </c>
      <c r="S50" s="27"/>
      <c r="T50" s="3"/>
      <c r="U50" s="3"/>
      <c r="V50" s="3"/>
      <c r="W50" s="3"/>
      <c r="X50" s="3"/>
      <c r="Y50" s="3"/>
      <c r="Z50" s="3"/>
    </row>
    <row r="51" spans="2:26" x14ac:dyDescent="0.25">
      <c r="B51" s="17" t="str">
        <f>'Existing Systems and Loads'!B27</f>
        <v>Y</v>
      </c>
      <c r="C51" s="3"/>
      <c r="D51" s="44" t="str">
        <f>IF('Electrification Upgrades'!D35="Y","Y",IF('Electrification Upgrades'!B35="Y","Y","N"))</f>
        <v>Y</v>
      </c>
      <c r="E51" s="3"/>
      <c r="F51" s="218" t="s">
        <v>207</v>
      </c>
      <c r="G51" s="3"/>
      <c r="H51" t="s">
        <v>84</v>
      </c>
      <c r="J51" s="228" t="s">
        <v>199</v>
      </c>
      <c r="K51" s="3"/>
      <c r="L51" s="65"/>
      <c r="M51" s="3"/>
      <c r="P51" s="60" t="str">
        <f>IF($F51="Yes","",IF(LEFT($J$51,4)="Init",'Electrification Upgrades'!T35,'Opt. 1 - Low-Power Appliances'!T6))</f>
        <v>Tank &lt; 50gal</v>
      </c>
      <c r="Q51" s="60" t="str">
        <f>IF($F51="Yes","",IF(LEFT($J$51,4)="Init",'Electrification Upgrades'!U35,'Opt. 1 - Low-Power Appliances'!U6))</f>
        <v>Electric - Heat Pump</v>
      </c>
      <c r="R51" s="60">
        <f>IF($F51="Yes","",IF(LEFT($J$51,4)="Init",'Electrification Upgrades'!V35,'Opt. 1 - Low-Power Appliances'!V6))</f>
        <v>4500</v>
      </c>
      <c r="T51" s="3"/>
      <c r="U51" s="3"/>
      <c r="V51" s="3"/>
      <c r="W51" s="3"/>
      <c r="X51" s="3"/>
      <c r="Y51" s="3"/>
      <c r="Z51" s="3"/>
    </row>
    <row r="52" spans="2:26" x14ac:dyDescent="0.25">
      <c r="B52" s="17" t="str">
        <f>'Existing Systems and Loads'!B28</f>
        <v>N</v>
      </c>
      <c r="C52" s="3"/>
      <c r="D52" s="44" t="str">
        <f>IF('Electrification Upgrades'!D36="Y","Y",IF('Electrification Upgrades'!B36="Y","Y","N"))</f>
        <v>N</v>
      </c>
      <c r="E52" s="3"/>
      <c r="F52" s="218" t="s">
        <v>207</v>
      </c>
      <c r="G52" s="3"/>
      <c r="H52" t="s">
        <v>130</v>
      </c>
      <c r="J52" s="228" t="s">
        <v>199</v>
      </c>
      <c r="K52" s="3"/>
      <c r="L52" s="65"/>
      <c r="M52" s="3"/>
      <c r="P52" s="60" t="str">
        <f>IF($F52="Yes","",IF(LEFT($J$51,4)="Init",'Electrification Upgrades'!T36,'Opt. 1 - Low-Power Appliances'!T7))</f>
        <v/>
      </c>
      <c r="Q52" s="60" t="str">
        <f>IF($F52="Yes","",IF(LEFT($J$51,4)="Init",'Electrification Upgrades'!U36,'Opt. 1 - Low-Power Appliances'!U7))</f>
        <v/>
      </c>
      <c r="R52" s="60" t="str">
        <f>IF($F52="Yes","",IF(LEFT($J$51,4)="Init",'Electrification Upgrades'!V36,'Opt. 1 - Low-Power Appliances'!V7))</f>
        <v/>
      </c>
      <c r="S52" s="27"/>
      <c r="T52" s="3"/>
      <c r="U52" s="3"/>
      <c r="V52" s="3"/>
      <c r="W52" s="3"/>
      <c r="X52" s="3"/>
      <c r="Y52" s="3"/>
    </row>
    <row r="53" spans="2:26" x14ac:dyDescent="0.25">
      <c r="B53" s="17" t="str">
        <f>'Existing Systems and Loads'!B29</f>
        <v>Y</v>
      </c>
      <c r="C53" s="3"/>
      <c r="D53" s="44" t="str">
        <f>IF('Electrification Upgrades'!D37="Y","Y",IF('Electrification Upgrades'!B37="Y","Y","N"))</f>
        <v>Y</v>
      </c>
      <c r="E53" s="3"/>
      <c r="F53" s="218" t="s">
        <v>210</v>
      </c>
      <c r="G53" s="3"/>
      <c r="H53" t="s">
        <v>87</v>
      </c>
      <c r="J53" s="218" t="s">
        <v>199</v>
      </c>
      <c r="K53" s="3"/>
      <c r="L53" s="65"/>
      <c r="M53" s="3"/>
      <c r="P53" s="60" t="str">
        <f>IF($F$53="Yes","",IF(LEFT($J$53,4)="Init",'Electrification Upgrades'!T37,'Opt. 1 - Low-Power Appliances'!T33))</f>
        <v/>
      </c>
      <c r="Q53" s="60" t="str">
        <f>IF($F$53="Yes","",IF(LEFT($J$53,4)="Init",'Electrification Upgrades'!U37,'Opt. 1 - Low-Power Appliances'!U33))</f>
        <v/>
      </c>
      <c r="R53" s="60" t="str">
        <f>IF($F$53="Yes","",IF(LEFT($J$53,4)="Init",'Electrification Upgrades'!V37,'Opt. 1 - Low-Power Appliances'!V33))</f>
        <v/>
      </c>
      <c r="T53" s="27" t="s">
        <v>89</v>
      </c>
      <c r="U53" s="3"/>
      <c r="V53" s="3"/>
      <c r="W53" s="3"/>
      <c r="X53" s="3"/>
      <c r="Y53" s="3"/>
      <c r="Z53" s="3"/>
    </row>
    <row r="54" spans="2:26" x14ac:dyDescent="0.25">
      <c r="B54" s="17" t="str">
        <f>'Existing Systems and Loads'!B30</f>
        <v>N</v>
      </c>
      <c r="C54" s="3"/>
      <c r="D54" s="44" t="str">
        <f>IF('Electrification Upgrades'!D38="Y","Y",IF('Electrification Upgrades'!B38="Y","Y","N"))</f>
        <v>N</v>
      </c>
      <c r="E54" s="3"/>
      <c r="F54" s="218" t="s">
        <v>207</v>
      </c>
      <c r="G54" s="3"/>
      <c r="H54" t="s">
        <v>90</v>
      </c>
      <c r="J54" s="3"/>
      <c r="K54" s="3"/>
      <c r="L54" s="3"/>
      <c r="M54" s="3"/>
      <c r="P54" s="60" t="str">
        <f>IF($F54="Yes","",'Electrification Upgrades'!T38)</f>
        <v/>
      </c>
      <c r="Q54" s="60" t="str">
        <f>IF($F54="Yes","",'Electrification Upgrades'!U38)</f>
        <v/>
      </c>
      <c r="R54" s="60" t="str">
        <f>IF($F54="Yes","",'Electrification Upgrades'!V38)</f>
        <v/>
      </c>
      <c r="S54" s="27"/>
      <c r="T54" s="3"/>
      <c r="U54" s="3"/>
      <c r="V54" s="3"/>
      <c r="W54" s="3"/>
      <c r="X54" s="3"/>
      <c r="Y54" s="3"/>
    </row>
    <row r="55" spans="2:26" x14ac:dyDescent="0.25">
      <c r="B55" s="17" t="str">
        <f>'Existing Systems and Loads'!B31</f>
        <v>N</v>
      </c>
      <c r="C55" s="3"/>
      <c r="D55" s="44" t="str">
        <f>IF('Electrification Upgrades'!D39="Y","Y",IF('Electrification Upgrades'!B39="Y","Y","N"))</f>
        <v>N</v>
      </c>
      <c r="E55" s="3"/>
      <c r="F55" s="218" t="s">
        <v>207</v>
      </c>
      <c r="G55" s="3"/>
      <c r="H55" t="s">
        <v>92</v>
      </c>
      <c r="J55" s="3"/>
      <c r="K55" s="3"/>
      <c r="L55" s="3"/>
      <c r="M55" s="3"/>
      <c r="P55" s="60" t="str">
        <f>IF($F55="Yes","",'Electrification Upgrades'!T39)</f>
        <v/>
      </c>
      <c r="Q55" s="60" t="str">
        <f>IF($F55="Yes","",'Electrification Upgrades'!U39)</f>
        <v/>
      </c>
      <c r="R55" s="60" t="str">
        <f>IF($F55="Yes","",'Electrification Upgrades'!V39)</f>
        <v/>
      </c>
      <c r="S55" s="27"/>
      <c r="T55" s="3"/>
      <c r="U55" s="3"/>
      <c r="V55" s="3"/>
      <c r="W55" s="3"/>
      <c r="X55" s="3"/>
      <c r="Y55" s="3"/>
    </row>
    <row r="56" spans="2:26" x14ac:dyDescent="0.25">
      <c r="B56" s="17" t="str">
        <f>'Existing Systems and Loads'!B32</f>
        <v>N</v>
      </c>
      <c r="C56" s="3"/>
      <c r="D56" s="44" t="str">
        <f>IF('Electrification Upgrades'!D40="Y","Y",IF('Electrification Upgrades'!B40="Y","Y","N"))</f>
        <v>N</v>
      </c>
      <c r="E56" s="3"/>
      <c r="F56" s="218" t="s">
        <v>207</v>
      </c>
      <c r="G56" s="3"/>
      <c r="H56" t="s">
        <v>93</v>
      </c>
      <c r="J56" s="3"/>
      <c r="K56" s="3"/>
      <c r="L56" s="3"/>
      <c r="M56" s="3"/>
      <c r="P56" s="60" t="str">
        <f>IF($F56="Yes","",'Electrification Upgrades'!T40)</f>
        <v/>
      </c>
      <c r="Q56" s="60" t="str">
        <f>IF($F56="Yes","",'Electrification Upgrades'!U40)</f>
        <v/>
      </c>
      <c r="R56" s="60" t="str">
        <f>IF($F56="Yes","",'Electrification Upgrades'!V40)</f>
        <v/>
      </c>
      <c r="S56" s="27"/>
      <c r="T56" s="3"/>
      <c r="U56" s="3"/>
      <c r="V56" s="3"/>
      <c r="W56" s="3"/>
      <c r="X56" s="3"/>
      <c r="Y56" s="3"/>
    </row>
    <row r="57" spans="2:26" x14ac:dyDescent="0.25">
      <c r="B57" s="3"/>
      <c r="C57" s="3"/>
      <c r="D57" s="3"/>
      <c r="E57" s="3"/>
      <c r="F57" s="3"/>
      <c r="G57" s="3"/>
      <c r="J57" s="3"/>
      <c r="K57" s="3"/>
      <c r="L57" s="3"/>
      <c r="M57" s="3"/>
      <c r="P57" s="61"/>
      <c r="Q57" s="61"/>
      <c r="R57" s="61"/>
      <c r="S57" s="27"/>
      <c r="T57" s="3"/>
      <c r="U57" s="3"/>
      <c r="V57" s="3"/>
      <c r="W57" s="3"/>
      <c r="X57" s="3"/>
      <c r="Y57" s="3"/>
    </row>
    <row r="58" spans="2:26" x14ac:dyDescent="0.25">
      <c r="B58" s="44" t="str">
        <f>'Existing Systems and Loads'!B40</f>
        <v>Req'd</v>
      </c>
      <c r="C58" s="3"/>
      <c r="D58" s="44" t="s">
        <v>57</v>
      </c>
      <c r="E58" s="3"/>
      <c r="F58" s="218" t="s">
        <v>207</v>
      </c>
      <c r="G58" s="3"/>
      <c r="H58" s="20" t="s">
        <v>101</v>
      </c>
      <c r="J58" s="3"/>
      <c r="K58" s="3"/>
      <c r="L58" s="125" t="s">
        <v>209</v>
      </c>
      <c r="M58" s="3"/>
      <c r="P58" s="61"/>
      <c r="Q58" s="127"/>
      <c r="R58" s="60">
        <f>IF($F58="Yes","",'Existing Systems and Loads'!O40)</f>
        <v>4500</v>
      </c>
      <c r="S58" s="27"/>
      <c r="T58" s="3"/>
      <c r="U58" s="3"/>
      <c r="V58" s="3"/>
      <c r="W58" s="3"/>
      <c r="X58" s="3"/>
      <c r="Y58" s="3"/>
    </row>
    <row r="59" spans="2:26" x14ac:dyDescent="0.25">
      <c r="B59" s="44" t="str">
        <f>'Existing Systems and Loads'!B41</f>
        <v>Req'd</v>
      </c>
      <c r="C59" s="3"/>
      <c r="D59" s="44" t="s">
        <v>57</v>
      </c>
      <c r="E59" s="3"/>
      <c r="F59" s="218" t="s">
        <v>207</v>
      </c>
      <c r="G59" s="3"/>
      <c r="H59" s="20" t="s">
        <v>103</v>
      </c>
      <c r="J59" s="3"/>
      <c r="K59" s="3"/>
      <c r="L59" s="125" t="s">
        <v>209</v>
      </c>
      <c r="M59" s="3"/>
      <c r="P59" s="61"/>
      <c r="Q59" s="127"/>
      <c r="R59" s="60">
        <f>IF($F59="Yes","",'Existing Systems and Loads'!O41)</f>
        <v>3000</v>
      </c>
      <c r="S59" s="27"/>
      <c r="T59" s="3"/>
      <c r="U59" s="3"/>
      <c r="V59" s="3"/>
      <c r="W59" s="3"/>
      <c r="X59" s="3"/>
      <c r="Y59" s="3"/>
    </row>
    <row r="60" spans="2:26" x14ac:dyDescent="0.25">
      <c r="B60" s="44" t="str">
        <f>'Existing Systems and Loads'!B42</f>
        <v>Req'd</v>
      </c>
      <c r="C60" s="3"/>
      <c r="D60" s="44" t="s">
        <v>57</v>
      </c>
      <c r="E60" s="3"/>
      <c r="F60" s="218" t="s">
        <v>207</v>
      </c>
      <c r="G60" s="3"/>
      <c r="H60" s="20" t="s">
        <v>105</v>
      </c>
      <c r="J60" s="3"/>
      <c r="K60" s="3"/>
      <c r="L60" s="126"/>
      <c r="M60" s="3"/>
      <c r="P60" s="61"/>
      <c r="Q60" s="127"/>
      <c r="R60" s="60">
        <f>IF($F60="Yes","",'Existing Systems and Loads'!O42)</f>
        <v>1500</v>
      </c>
      <c r="S60" s="27"/>
      <c r="T60" s="3"/>
      <c r="U60" s="3"/>
      <c r="V60" s="3"/>
      <c r="W60" s="3"/>
      <c r="X60" s="3"/>
      <c r="Y60" s="3"/>
    </row>
    <row r="61" spans="2:26" x14ac:dyDescent="0.25">
      <c r="B61" s="3"/>
      <c r="C61" s="3"/>
      <c r="D61" s="3"/>
      <c r="E61" s="3"/>
      <c r="F61" s="3"/>
      <c r="G61" s="3"/>
      <c r="J61" s="3"/>
      <c r="K61" s="3"/>
      <c r="L61" s="3"/>
      <c r="M61" s="3"/>
      <c r="P61" s="61"/>
      <c r="Q61" s="61"/>
      <c r="R61" s="61"/>
      <c r="S61" s="27"/>
      <c r="T61" s="3"/>
      <c r="U61" s="3"/>
      <c r="V61" s="3"/>
      <c r="W61" s="3"/>
      <c r="X61" s="3"/>
      <c r="Y61" s="3"/>
    </row>
    <row r="62" spans="2:26" x14ac:dyDescent="0.25">
      <c r="B62" s="44" t="str">
        <f>'Existing Systems and Loads'!B46</f>
        <v>Y</v>
      </c>
      <c r="C62" s="3"/>
      <c r="D62" s="44" t="str">
        <f>B62</f>
        <v>Y</v>
      </c>
      <c r="E62" s="3"/>
      <c r="F62" s="218" t="s">
        <v>207</v>
      </c>
      <c r="G62" s="3"/>
      <c r="H62" t="s">
        <v>109</v>
      </c>
      <c r="J62" s="3"/>
      <c r="K62" s="3"/>
      <c r="L62" s="125" t="s">
        <v>209</v>
      </c>
      <c r="M62" s="3"/>
      <c r="P62" s="61"/>
      <c r="Q62" s="127"/>
      <c r="R62" s="60">
        <f>IF($F62="Yes","",'Existing Systems and Loads'!O46)</f>
        <v>750</v>
      </c>
      <c r="S62" s="27"/>
      <c r="T62" s="3"/>
      <c r="U62" s="3"/>
      <c r="V62" s="3"/>
      <c r="W62" s="3"/>
      <c r="X62" s="3"/>
      <c r="Y62" s="3"/>
    </row>
    <row r="63" spans="2:26" x14ac:dyDescent="0.25">
      <c r="B63" s="44" t="str">
        <f>'Existing Systems and Loads'!B47</f>
        <v>Y</v>
      </c>
      <c r="C63" s="3"/>
      <c r="D63" s="44" t="str">
        <f t="shared" ref="D63:D70" si="0">B63</f>
        <v>Y</v>
      </c>
      <c r="E63" s="3"/>
      <c r="F63" s="218" t="s">
        <v>207</v>
      </c>
      <c r="G63" s="3"/>
      <c r="H63" t="s">
        <v>110</v>
      </c>
      <c r="J63" s="3"/>
      <c r="K63" s="3"/>
      <c r="L63" s="125" t="s">
        <v>209</v>
      </c>
      <c r="M63" s="3"/>
      <c r="P63" s="61"/>
      <c r="Q63" s="127"/>
      <c r="R63" s="60">
        <f>IF($F63="Yes","",'Existing Systems and Loads'!O47)</f>
        <v>600</v>
      </c>
      <c r="S63" s="27"/>
      <c r="T63" s="3"/>
      <c r="U63" s="3"/>
      <c r="V63" s="3"/>
      <c r="W63" s="3"/>
      <c r="X63" s="3"/>
      <c r="Y63" s="3"/>
    </row>
    <row r="64" spans="2:26" x14ac:dyDescent="0.25">
      <c r="B64" s="44" t="str">
        <f>'Existing Systems and Loads'!B48</f>
        <v>Y</v>
      </c>
      <c r="C64" s="3"/>
      <c r="D64" s="44" t="str">
        <f t="shared" si="0"/>
        <v>Y</v>
      </c>
      <c r="E64" s="3"/>
      <c r="F64" s="218" t="s">
        <v>207</v>
      </c>
      <c r="G64" s="3"/>
      <c r="H64" t="s">
        <v>111</v>
      </c>
      <c r="J64" s="3"/>
      <c r="K64" s="3"/>
      <c r="L64" s="125" t="s">
        <v>209</v>
      </c>
      <c r="M64" s="3"/>
      <c r="P64" s="61"/>
      <c r="Q64" s="127"/>
      <c r="R64" s="60">
        <f>IF($F64="Yes","",'Existing Systems and Loads'!O48)</f>
        <v>1200</v>
      </c>
      <c r="S64" s="27"/>
      <c r="T64" s="3"/>
      <c r="U64" s="3"/>
      <c r="V64" s="3"/>
      <c r="W64" s="3"/>
      <c r="X64" s="3"/>
      <c r="Y64" s="3"/>
    </row>
    <row r="65" spans="1:25" x14ac:dyDescent="0.25">
      <c r="B65" s="44" t="str">
        <f>'Existing Systems and Loads'!B49</f>
        <v>Y</v>
      </c>
      <c r="C65" s="3"/>
      <c r="D65" s="44" t="str">
        <f t="shared" si="0"/>
        <v>Y</v>
      </c>
      <c r="E65" s="3"/>
      <c r="F65" s="218" t="s">
        <v>207</v>
      </c>
      <c r="G65" s="3"/>
      <c r="H65" t="s">
        <v>112</v>
      </c>
      <c r="J65" s="3"/>
      <c r="K65" s="3"/>
      <c r="L65" s="125" t="s">
        <v>209</v>
      </c>
      <c r="M65" s="3"/>
      <c r="P65" s="61"/>
      <c r="Q65" s="127"/>
      <c r="R65" s="60">
        <f>IF($F65="Yes","",'Existing Systems and Loads'!O49)</f>
        <v>1500</v>
      </c>
      <c r="S65" s="27"/>
      <c r="T65" s="3"/>
      <c r="U65" s="3"/>
      <c r="V65" s="3"/>
      <c r="W65" s="3"/>
      <c r="X65" s="3"/>
      <c r="Y65" s="3"/>
    </row>
    <row r="66" spans="1:25" x14ac:dyDescent="0.25">
      <c r="B66" s="44" t="str">
        <f>'Existing Systems and Loads'!B50</f>
        <v>Y</v>
      </c>
      <c r="C66" s="3"/>
      <c r="D66" s="44" t="str">
        <f t="shared" si="0"/>
        <v>Y</v>
      </c>
      <c r="E66" s="3"/>
      <c r="F66" s="218" t="s">
        <v>207</v>
      </c>
      <c r="G66" s="3"/>
      <c r="H66" s="47" t="s">
        <v>113</v>
      </c>
      <c r="J66" s="3"/>
      <c r="K66" s="3"/>
      <c r="L66" s="125" t="s">
        <v>209</v>
      </c>
      <c r="M66" s="3"/>
      <c r="P66" s="61"/>
      <c r="Q66" s="127"/>
      <c r="R66" s="60">
        <f>IF($F66="Yes","",'Existing Systems and Loads'!O50)</f>
        <v>250</v>
      </c>
      <c r="S66" s="27"/>
      <c r="T66" s="124"/>
      <c r="U66" s="3"/>
      <c r="V66" s="3"/>
      <c r="W66" s="3"/>
      <c r="X66" s="3"/>
      <c r="Y66" s="3"/>
    </row>
    <row r="67" spans="1:25" x14ac:dyDescent="0.25">
      <c r="B67" s="44" t="str">
        <f>'Existing Systems and Loads'!B51</f>
        <v>Y</v>
      </c>
      <c r="C67" s="3"/>
      <c r="D67" s="44" t="str">
        <f t="shared" si="0"/>
        <v>Y</v>
      </c>
      <c r="E67" s="3"/>
      <c r="F67" s="218" t="s">
        <v>207</v>
      </c>
      <c r="G67" s="3"/>
      <c r="H67" s="47" t="s">
        <v>114</v>
      </c>
      <c r="J67" s="3"/>
      <c r="K67" s="3"/>
      <c r="L67" s="125" t="s">
        <v>209</v>
      </c>
      <c r="M67" s="3"/>
      <c r="P67" s="61"/>
      <c r="Q67" s="127"/>
      <c r="R67" s="60">
        <f>IF($F67="Yes","",'Existing Systems and Loads'!O51)</f>
        <v>300</v>
      </c>
      <c r="S67" s="27"/>
      <c r="T67" s="124"/>
      <c r="U67" s="3"/>
      <c r="V67" s="3"/>
      <c r="W67" s="3"/>
      <c r="X67" s="3"/>
      <c r="Y67" s="3"/>
    </row>
    <row r="68" spans="1:25" x14ac:dyDescent="0.25">
      <c r="B68" s="44" t="str">
        <f>'Existing Systems and Loads'!B52</f>
        <v>N</v>
      </c>
      <c r="C68" s="3"/>
      <c r="D68" s="44" t="str">
        <f t="shared" si="0"/>
        <v>N</v>
      </c>
      <c r="E68" s="3"/>
      <c r="F68" s="218" t="s">
        <v>207</v>
      </c>
      <c r="G68" s="3"/>
      <c r="H68" t="s">
        <v>115</v>
      </c>
      <c r="J68" s="3"/>
      <c r="K68" s="3"/>
      <c r="L68" s="3"/>
      <c r="M68" s="3"/>
      <c r="P68" s="61" t="str">
        <f>IF($F68="Yes","",IF('Existing Systems and Loads'!E52=0,"",'Existing Systems and Loads'!E52))</f>
        <v/>
      </c>
      <c r="Q68" s="127"/>
      <c r="R68" s="60" t="str">
        <f>IF($F68="Yes","",'Existing Systems and Loads'!O52)</f>
        <v/>
      </c>
      <c r="S68" s="27"/>
      <c r="T68" s="3"/>
      <c r="U68" s="3"/>
      <c r="V68" s="3"/>
      <c r="W68" s="3"/>
      <c r="X68" s="3"/>
      <c r="Y68" s="3"/>
    </row>
    <row r="69" spans="1:25" x14ac:dyDescent="0.25">
      <c r="B69" s="44" t="str">
        <f>'Existing Systems and Loads'!B53</f>
        <v>N</v>
      </c>
      <c r="C69" s="3"/>
      <c r="D69" s="44" t="str">
        <f t="shared" si="0"/>
        <v>N</v>
      </c>
      <c r="E69" s="3"/>
      <c r="F69" s="218" t="s">
        <v>207</v>
      </c>
      <c r="G69" s="3"/>
      <c r="H69" t="s">
        <v>116</v>
      </c>
      <c r="J69" s="3"/>
      <c r="K69" s="3"/>
      <c r="L69" s="3"/>
      <c r="M69" s="3"/>
      <c r="P69" s="61" t="str">
        <f>IF($F69="Yes","",IF('Existing Systems and Loads'!E53=0,"",'Existing Systems and Loads'!E53))</f>
        <v/>
      </c>
      <c r="Q69" s="127"/>
      <c r="R69" s="60" t="str">
        <f>IF($F69="Yes","",'Existing Systems and Loads'!O53)</f>
        <v/>
      </c>
      <c r="S69" s="27"/>
      <c r="T69" s="3"/>
      <c r="U69" s="3"/>
      <c r="V69" s="3"/>
      <c r="W69" s="3"/>
      <c r="X69" s="3"/>
      <c r="Y69" s="3"/>
    </row>
    <row r="70" spans="1:25" x14ac:dyDescent="0.25">
      <c r="B70" s="44" t="str">
        <f>'Existing Systems and Loads'!B54</f>
        <v>N</v>
      </c>
      <c r="C70" s="3"/>
      <c r="D70" s="44" t="str">
        <f t="shared" si="0"/>
        <v>N</v>
      </c>
      <c r="E70" s="3"/>
      <c r="F70" s="218" t="s">
        <v>207</v>
      </c>
      <c r="G70" s="3"/>
      <c r="H70" t="s">
        <v>117</v>
      </c>
      <c r="J70" s="3"/>
      <c r="K70" s="3"/>
      <c r="L70" s="3"/>
      <c r="M70" s="3"/>
      <c r="P70" s="61" t="str">
        <f>IF($F70="Yes","",IF('Existing Systems and Loads'!E54=0,"",'Existing Systems and Loads'!E54))</f>
        <v/>
      </c>
      <c r="Q70" s="127"/>
      <c r="R70" s="60" t="str">
        <f>IF($F70="Yes","",'Existing Systems and Loads'!O54)</f>
        <v/>
      </c>
      <c r="S70" s="27"/>
      <c r="T70" s="3"/>
      <c r="U70" s="3"/>
      <c r="V70" s="3"/>
      <c r="W70" s="3"/>
      <c r="X70" s="3"/>
      <c r="Y70" s="3"/>
    </row>
    <row r="71" spans="1:25" x14ac:dyDescent="0.25">
      <c r="B71" s="3"/>
      <c r="C71" s="3"/>
      <c r="D71" s="3"/>
      <c r="E71" s="3"/>
      <c r="F71" s="3"/>
      <c r="G71" s="3"/>
      <c r="J71" s="3"/>
      <c r="K71" s="3"/>
      <c r="L71" s="3"/>
      <c r="M71" s="3"/>
      <c r="P71" s="61"/>
      <c r="Q71" s="61"/>
      <c r="R71" s="61"/>
      <c r="S71" s="27"/>
      <c r="T71" s="3"/>
      <c r="U71" s="3"/>
      <c r="V71" s="3"/>
      <c r="W71" s="3"/>
      <c r="X71" s="3"/>
      <c r="Y71" s="3"/>
    </row>
    <row r="72" spans="1:25" x14ac:dyDescent="0.25">
      <c r="A72" s="3"/>
      <c r="D72" s="121" t="s">
        <v>200</v>
      </c>
      <c r="F72" s="123">
        <f>'Panel Load - Opt3c'!H65</f>
        <v>87.716666666666669</v>
      </c>
      <c r="H72" s="6" t="str">
        <f>IF(SUM('Panel Load - Opt3c'!$K$65:$L$65)&gt;'Panel Load - Opt3c'!$H$67,"This approach with the current settings WILL NOT meet the original "&amp;'Panel Load - Opt3c'!$H$67&amp;" amp target.","This approach will meet the "&amp;'Panel Load - Opt3c'!$H$67&amp;" amp target.")</f>
        <v>This approach will meet the 100 amp target.</v>
      </c>
    </row>
    <row r="73" spans="1:25" x14ac:dyDescent="0.25">
      <c r="B73" s="3"/>
      <c r="C73" s="3"/>
      <c r="D73" s="3"/>
      <c r="E73" s="3"/>
      <c r="F73" s="3"/>
      <c r="G73" s="3"/>
      <c r="J73" s="3"/>
      <c r="K73" s="3"/>
      <c r="L73" s="3"/>
      <c r="M73" s="3"/>
      <c r="P73" s="61"/>
      <c r="Q73" s="61"/>
      <c r="R73" s="61"/>
      <c r="S73" s="27"/>
      <c r="T73" s="3"/>
      <c r="U73" s="3"/>
      <c r="V73" s="3"/>
      <c r="W73" s="3"/>
      <c r="X73" s="3"/>
      <c r="Y73" s="3"/>
    </row>
    <row r="74" spans="1:25" x14ac:dyDescent="0.25">
      <c r="B74" s="3"/>
      <c r="C74" s="3"/>
      <c r="D74" s="3"/>
      <c r="E74" s="3"/>
      <c r="F74" s="3"/>
      <c r="G74" s="3"/>
      <c r="J74" s="3"/>
      <c r="K74" s="3"/>
      <c r="L74" s="3"/>
      <c r="M74" s="3"/>
      <c r="P74" s="61"/>
      <c r="Q74" s="61"/>
      <c r="R74" s="61"/>
      <c r="S74" s="27"/>
      <c r="T74" s="3"/>
      <c r="U74" s="3"/>
      <c r="V74" s="3"/>
      <c r="W74" s="3"/>
      <c r="X74" s="3"/>
      <c r="Y74" s="3"/>
    </row>
    <row r="75" spans="1:25" x14ac:dyDescent="0.25">
      <c r="B75" s="3"/>
      <c r="C75" s="3"/>
      <c r="D75" s="3"/>
      <c r="E75" s="3"/>
      <c r="F75" s="3"/>
      <c r="G75" s="3"/>
      <c r="J75" s="3"/>
      <c r="K75" s="3"/>
      <c r="L75" s="3"/>
      <c r="M75" s="3"/>
      <c r="P75" s="61"/>
      <c r="Q75" s="61"/>
      <c r="R75" s="61"/>
      <c r="S75" s="27"/>
      <c r="T75" s="3"/>
      <c r="U75" s="3"/>
      <c r="V75" s="3"/>
      <c r="W75" s="3"/>
      <c r="X75" s="3"/>
      <c r="Y75" s="3"/>
    </row>
    <row r="76" spans="1:25" ht="18.75" x14ac:dyDescent="0.3">
      <c r="A76" s="36"/>
      <c r="B76" s="52"/>
      <c r="C76" s="52"/>
      <c r="D76" s="52"/>
    </row>
    <row r="77" spans="1:25" x14ac:dyDescent="0.25">
      <c r="A77" s="3"/>
      <c r="F77" s="47"/>
      <c r="G77" s="3"/>
    </row>
    <row r="78" spans="1:25" x14ac:dyDescent="0.25">
      <c r="A78" s="3"/>
      <c r="F78" s="47"/>
      <c r="G78" s="3"/>
    </row>
    <row r="79" spans="1:25" x14ac:dyDescent="0.25">
      <c r="A79" s="3"/>
      <c r="F79" s="47"/>
      <c r="G79" s="3"/>
    </row>
    <row r="80" spans="1:25" x14ac:dyDescent="0.25">
      <c r="A80" s="3"/>
      <c r="F80" s="47"/>
      <c r="G80" s="3"/>
    </row>
    <row r="81" spans="1:10" x14ac:dyDescent="0.25">
      <c r="A81" s="3"/>
      <c r="F81" s="47"/>
      <c r="G81" s="3"/>
    </row>
    <row r="82" spans="1:10" x14ac:dyDescent="0.25">
      <c r="A82" s="3"/>
      <c r="F82" s="47"/>
      <c r="G82" s="3"/>
    </row>
    <row r="83" spans="1:10" x14ac:dyDescent="0.25">
      <c r="G83" s="3"/>
      <c r="H83" s="3"/>
      <c r="I83" s="3"/>
      <c r="J83" s="3"/>
    </row>
    <row r="84" spans="1:10" ht="18.75" x14ac:dyDescent="0.3">
      <c r="A84" s="3"/>
      <c r="E84" s="52"/>
    </row>
    <row r="85" spans="1:10" x14ac:dyDescent="0.25">
      <c r="A85" s="3"/>
      <c r="F85" s="47"/>
      <c r="G85" s="3"/>
    </row>
    <row r="86" spans="1:10" x14ac:dyDescent="0.25">
      <c r="A86" s="3"/>
      <c r="F86" s="3"/>
      <c r="G86" s="3"/>
    </row>
    <row r="87" spans="1:10" x14ac:dyDescent="0.25">
      <c r="A87" s="3"/>
    </row>
    <row r="88" spans="1:10" x14ac:dyDescent="0.25">
      <c r="A88" s="3"/>
    </row>
    <row r="90" spans="1:10" ht="18.75" x14ac:dyDescent="0.3">
      <c r="F90" s="52"/>
    </row>
    <row r="91" spans="1:10" x14ac:dyDescent="0.25">
      <c r="G91" s="47"/>
      <c r="H91" s="3"/>
      <c r="I91" s="3"/>
      <c r="J91" s="3"/>
    </row>
    <row r="92" spans="1:10" x14ac:dyDescent="0.25">
      <c r="G92" s="3"/>
      <c r="H92" s="3"/>
      <c r="I92" s="3"/>
      <c r="J92" s="3"/>
    </row>
    <row r="94" spans="1:10" ht="18.75" x14ac:dyDescent="0.3">
      <c r="F94" s="52"/>
    </row>
    <row r="95" spans="1:10" x14ac:dyDescent="0.25">
      <c r="G95" s="47"/>
      <c r="H95" s="3"/>
      <c r="I95" s="3"/>
      <c r="J95" s="3"/>
    </row>
    <row r="96" spans="1:10" x14ac:dyDescent="0.25">
      <c r="G96" s="3"/>
      <c r="H96" s="3"/>
      <c r="I96" s="3"/>
      <c r="J96" s="3"/>
    </row>
    <row r="98" spans="6:10" ht="18.75" x14ac:dyDescent="0.3">
      <c r="F98" s="52"/>
    </row>
    <row r="99" spans="6:10" x14ac:dyDescent="0.25">
      <c r="G99" s="47"/>
      <c r="H99" s="3"/>
      <c r="I99" s="3"/>
      <c r="J99" s="3"/>
    </row>
    <row r="100" spans="6:10" x14ac:dyDescent="0.25">
      <c r="G100" s="3"/>
      <c r="H100" s="3"/>
      <c r="I100" s="3"/>
      <c r="J100" s="3"/>
    </row>
    <row r="102" spans="6:10" ht="18.75" x14ac:dyDescent="0.3">
      <c r="F102" s="52"/>
    </row>
    <row r="103" spans="6:10" x14ac:dyDescent="0.25">
      <c r="G103" s="47"/>
      <c r="H103" s="3"/>
      <c r="I103" s="3"/>
      <c r="J103" s="3"/>
    </row>
    <row r="104" spans="6:10" x14ac:dyDescent="0.25">
      <c r="G104" s="3"/>
      <c r="H104" s="3"/>
      <c r="I104" s="3"/>
      <c r="J104" s="3"/>
    </row>
  </sheetData>
  <sheetProtection algorithmName="SHA-512" hashValue="i+p0AogPDvZ1LdegvcKZKmns7LS+Heq4mNmtRo7MtsWK2Rn7PJTwrN+Xk/JmFQE24ZqD4VcjYzv6+K1vYiYl1g==" saltValue="+hmVwLG5VntUfoVb1Okdkg==" spinCount="100000" sheet="1" objects="1" scenarios="1" selectLockedCells="1"/>
  <mergeCells count="5">
    <mergeCell ref="F40:F43"/>
    <mergeCell ref="J40:J43"/>
    <mergeCell ref="AE38:AF38"/>
    <mergeCell ref="J45:J46"/>
    <mergeCell ref="J47:J50"/>
  </mergeCells>
  <conditionalFormatting sqref="B18:D18">
    <cfRule type="expression" dxfId="70" priority="106" stopIfTrue="1">
      <formula>B18="N"</formula>
    </cfRule>
    <cfRule type="expression" dxfId="69" priority="105" stopIfTrue="1">
      <formula>B18="Y"</formula>
    </cfRule>
  </conditionalFormatting>
  <conditionalFormatting sqref="B20:D20">
    <cfRule type="expression" dxfId="68" priority="93" stopIfTrue="1">
      <formula>B20="N"</formula>
    </cfRule>
    <cfRule type="expression" dxfId="67" priority="92" stopIfTrue="1">
      <formula>B20="Y"</formula>
    </cfRule>
  </conditionalFormatting>
  <conditionalFormatting sqref="B29:D29">
    <cfRule type="expression" dxfId="66" priority="52" stopIfTrue="1">
      <formula>B29="N"</formula>
    </cfRule>
    <cfRule type="expression" dxfId="65" priority="51" stopIfTrue="1">
      <formula>B29="Y"</formula>
    </cfRule>
  </conditionalFormatting>
  <conditionalFormatting sqref="B40:D56 B75:D75">
    <cfRule type="expression" dxfId="64" priority="71" stopIfTrue="1">
      <formula>B40="N"</formula>
    </cfRule>
    <cfRule type="expression" dxfId="63" priority="70" stopIfTrue="1">
      <formula>B40="Y"</formula>
    </cfRule>
  </conditionalFormatting>
  <conditionalFormatting sqref="D12">
    <cfRule type="expression" dxfId="62" priority="24" stopIfTrue="1">
      <formula>$D12="Y"</formula>
    </cfRule>
    <cfRule type="expression" dxfId="61" priority="25">
      <formula>$D12="N"</formula>
    </cfRule>
  </conditionalFormatting>
  <conditionalFormatting sqref="D24">
    <cfRule type="expression" dxfId="60" priority="13" stopIfTrue="1">
      <formula>$D24="Y"</formula>
    </cfRule>
    <cfRule type="expression" dxfId="59" priority="14">
      <formula>$D24="N"</formula>
    </cfRule>
  </conditionalFormatting>
  <conditionalFormatting sqref="D34:D35">
    <cfRule type="expression" dxfId="58" priority="2" stopIfTrue="1">
      <formula>$D34="Y"</formula>
    </cfRule>
    <cfRule type="expression" dxfId="57" priority="3">
      <formula>$D34="N"</formula>
    </cfRule>
  </conditionalFormatting>
  <conditionalFormatting sqref="F8:F10">
    <cfRule type="expression" dxfId="56" priority="45" stopIfTrue="1">
      <formula>$F8="Y"</formula>
    </cfRule>
    <cfRule type="expression" dxfId="55" priority="46">
      <formula>$F8="N"</formula>
    </cfRule>
  </conditionalFormatting>
  <conditionalFormatting sqref="F18">
    <cfRule type="expression" dxfId="54" priority="103" stopIfTrue="1">
      <formula>$F18="Y"</formula>
    </cfRule>
    <cfRule type="expression" dxfId="53" priority="104">
      <formula>$F18="N"</formula>
    </cfRule>
  </conditionalFormatting>
  <conditionalFormatting sqref="F20">
    <cfRule type="expression" dxfId="52" priority="90" stopIfTrue="1">
      <formula>$F20="Y"</formula>
    </cfRule>
    <cfRule type="expression" dxfId="51" priority="91">
      <formula>$F20="N"</formula>
    </cfRule>
  </conditionalFormatting>
  <conditionalFormatting sqref="F29">
    <cfRule type="expression" dxfId="50" priority="56">
      <formula>$F29="N"</formula>
    </cfRule>
    <cfRule type="expression" dxfId="49" priority="55" stopIfTrue="1">
      <formula>$F29="Y"</formula>
    </cfRule>
  </conditionalFormatting>
  <conditionalFormatting sqref="F40 F45:F56 F75">
    <cfRule type="expression" dxfId="48" priority="69">
      <formula>$F40="Yes"</formula>
    </cfRule>
    <cfRule type="expression" dxfId="47" priority="85">
      <formula>$F40="No"</formula>
    </cfRule>
  </conditionalFormatting>
  <conditionalFormatting sqref="H12 M12">
    <cfRule type="expression" dxfId="43" priority="30">
      <formula>$D12="N"</formula>
    </cfRule>
  </conditionalFormatting>
  <conditionalFormatting sqref="H12">
    <cfRule type="expression" dxfId="42" priority="28">
      <formula>AND(ISBLANK(H12),$D12="Y")</formula>
    </cfRule>
  </conditionalFormatting>
  <conditionalFormatting sqref="H24 M24">
    <cfRule type="expression" dxfId="41" priority="19">
      <formula>$D24="N"</formula>
    </cfRule>
  </conditionalFormatting>
  <conditionalFormatting sqref="H24">
    <cfRule type="expression" dxfId="40" priority="17">
      <formula>AND(ISBLANK(H24),$D24="Y")</formula>
    </cfRule>
  </conditionalFormatting>
  <conditionalFormatting sqref="H34:H35 M34:M35">
    <cfRule type="expression" dxfId="39" priority="8">
      <formula>$D34="N"</formula>
    </cfRule>
  </conditionalFormatting>
  <conditionalFormatting sqref="H34:H35">
    <cfRule type="expression" dxfId="38" priority="6">
      <formula>AND(ISBLANK(H34),$D34="Y")</formula>
    </cfRule>
  </conditionalFormatting>
  <conditionalFormatting sqref="H12:I12 M12">
    <cfRule type="expression" dxfId="37" priority="29" stopIfTrue="1">
      <formula>$D12="Y"</formula>
    </cfRule>
  </conditionalFormatting>
  <conditionalFormatting sqref="H24:I24 M24">
    <cfRule type="expression" dxfId="36" priority="18" stopIfTrue="1">
      <formula>$D24="Y"</formula>
    </cfRule>
  </conditionalFormatting>
  <conditionalFormatting sqref="H34:I35 M34:M35">
    <cfRule type="expression" dxfId="35" priority="7" stopIfTrue="1">
      <formula>$D34="Y"</formula>
    </cfRule>
  </conditionalFormatting>
  <conditionalFormatting sqref="I12">
    <cfRule type="expression" dxfId="34" priority="23">
      <formula>AND(LEFT($H$6,5)="Tankl",$I12="Electric - Heat Pump")</formula>
    </cfRule>
  </conditionalFormatting>
  <conditionalFormatting sqref="I24">
    <cfRule type="expression" dxfId="33" priority="12">
      <formula>AND(LEFT($H$6,5)="Tankl",$I24="Electric - Heat Pump")</formula>
    </cfRule>
  </conditionalFormatting>
  <conditionalFormatting sqref="I34:I35">
    <cfRule type="expression" dxfId="32" priority="1">
      <formula>AND(LEFT($H$6,5)="Tankl",$I34="Electric - Heat Pump")</formula>
    </cfRule>
  </conditionalFormatting>
  <conditionalFormatting sqref="J18 J20">
    <cfRule type="expression" dxfId="31" priority="88">
      <formula>$F$18="Y"</formula>
    </cfRule>
    <cfRule type="expression" dxfId="30" priority="89">
      <formula>$F$18="N"</formula>
    </cfRule>
  </conditionalFormatting>
  <conditionalFormatting sqref="J29">
    <cfRule type="expression" dxfId="29" priority="35">
      <formula>$F$18="N"</formula>
    </cfRule>
    <cfRule type="expression" dxfId="28" priority="34">
      <formula>$F$18="Y"</formula>
    </cfRule>
  </conditionalFormatting>
  <conditionalFormatting sqref="J40 J45:J53">
    <cfRule type="expression" dxfId="27" priority="47">
      <formula>$F40="Yes"</formula>
    </cfRule>
    <cfRule type="expression" dxfId="26" priority="48">
      <formula>$F40="No"</formula>
    </cfRule>
  </conditionalFormatting>
  <conditionalFormatting sqref="J12:L12">
    <cfRule type="expression" dxfId="25" priority="26">
      <formula>ISERROR(J12)</formula>
    </cfRule>
  </conditionalFormatting>
  <conditionalFormatting sqref="J24:L24">
    <cfRule type="expression" dxfId="24" priority="15">
      <formula>ISERROR(J24)</formula>
    </cfRule>
  </conditionalFormatting>
  <conditionalFormatting sqref="J34:L35">
    <cfRule type="expression" dxfId="23" priority="4">
      <formula>ISERROR(J34)</formula>
    </cfRule>
  </conditionalFormatting>
  <conditionalFormatting sqref="L29">
    <cfRule type="expression" dxfId="22" priority="36">
      <formula>$F$37="N"</formula>
    </cfRule>
    <cfRule type="expression" dxfId="21" priority="37">
      <formula>$F$37="Y"</formula>
    </cfRule>
  </conditionalFormatting>
  <conditionalFormatting sqref="N18">
    <cfRule type="expression" dxfId="20" priority="109">
      <formula>ISERROR($N18)</formula>
    </cfRule>
    <cfRule type="expression" dxfId="19" priority="107" stopIfTrue="1">
      <formula>$N18=0</formula>
    </cfRule>
  </conditionalFormatting>
  <conditionalFormatting sqref="O12:P12">
    <cfRule type="expression" dxfId="18" priority="31">
      <formula>$M12="Y"</formula>
    </cfRule>
    <cfRule type="expression" dxfId="17" priority="32">
      <formula>AND(ISBLANK(O12),$M12="N")</formula>
    </cfRule>
    <cfRule type="expression" dxfId="16" priority="33">
      <formula>$M12="N"</formula>
    </cfRule>
  </conditionalFormatting>
  <conditionalFormatting sqref="O24:P24">
    <cfRule type="expression" dxfId="15" priority="22">
      <formula>$M24="N"</formula>
    </cfRule>
    <cfRule type="expression" dxfId="14" priority="20">
      <formula>$M24="Y"</formula>
    </cfRule>
    <cfRule type="expression" dxfId="13" priority="21">
      <formula>AND(ISBLANK(O24),$M24="N")</formula>
    </cfRule>
  </conditionalFormatting>
  <conditionalFormatting sqref="O34:P35">
    <cfRule type="expression" dxfId="12" priority="10">
      <formula>AND(ISBLANK(O34),$M34="N")</formula>
    </cfRule>
    <cfRule type="expression" dxfId="11" priority="11">
      <formula>$M34="N"</formula>
    </cfRule>
    <cfRule type="expression" dxfId="10" priority="9">
      <formula>$M34="Y"</formula>
    </cfRule>
  </conditionalFormatting>
  <conditionalFormatting sqref="R12">
    <cfRule type="expression" dxfId="9" priority="27">
      <formula>ISERROR($R12)</formula>
    </cfRule>
  </conditionalFormatting>
  <conditionalFormatting sqref="R24">
    <cfRule type="expression" dxfId="8" priority="16">
      <formula>ISERROR($R24)</formula>
    </cfRule>
  </conditionalFormatting>
  <conditionalFormatting sqref="R34:R35">
    <cfRule type="expression" dxfId="7" priority="5">
      <formula>ISERROR($R34)</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44" id="{20D1FB5D-6081-4D43-890B-D1BFF3C7A7B6}">
            <xm:f>SUM('Panel Load - Opt3a'!$K$65:$L$65)&gt;'Panel Load - Opt3a'!$H$67</xm:f>
            <x14:dxf>
              <font>
                <color rgb="FFFF0000"/>
              </font>
              <fill>
                <patternFill>
                  <bgColor theme="5" tint="0.79998168889431442"/>
                </patternFill>
              </fill>
            </x14:dxf>
          </x14:cfRule>
          <xm:sqref>G22:L22</xm:sqref>
        </x14:conditionalFormatting>
        <x14:conditionalFormatting xmlns:xm="http://schemas.microsoft.com/office/excel/2006/main">
          <x14:cfRule type="expression" priority="42" id="{0C0D057B-C96E-4E00-BACA-8AF44430AAD0}">
            <xm:f>SUM('Panel Load - Opt3a'!$K$65:$L$65)&gt;'Panel Load - Opt3a'!$H$67</xm:f>
            <x14:dxf>
              <font>
                <color rgb="FFFF0000"/>
              </font>
              <fill>
                <patternFill>
                  <bgColor theme="5" tint="0.79998168889431442"/>
                </patternFill>
              </fill>
            </x14:dxf>
          </x14:cfRule>
          <xm:sqref>G31:L31</xm:sqref>
        </x14:conditionalFormatting>
        <x14:conditionalFormatting xmlns:xm="http://schemas.microsoft.com/office/excel/2006/main">
          <x14:cfRule type="expression" priority="38" id="{E2BE89A2-EE0C-4891-BB1D-54297437696B}">
            <xm:f>SUM('Panel Load - Opt3a'!$K$65:$L$65)&gt;'Panel Load - Opt3a'!$H$67</xm:f>
            <x14:dxf>
              <font>
                <color rgb="FFFF0000"/>
              </font>
              <fill>
                <patternFill>
                  <bgColor theme="5" tint="0.79998168889431442"/>
                </patternFill>
              </fill>
            </x14:dxf>
          </x14:cfRule>
          <xm:sqref>G72:L72</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B35BEDB2-21AF-4A2B-BFD3-F1B0847B7972}">
          <x14:formula1>
            <xm:f>Reference!$C$49:$C$52</xm:f>
          </x14:formula1>
          <xm:sqref>W18 V51:V53 W29</xm:sqref>
        </x14:dataValidation>
        <x14:dataValidation type="list" allowBlank="1" showInputMessage="1" showErrorMessage="1" xr:uid="{F635C184-3895-4018-9337-DF89C0F55664}">
          <x14:formula1>
            <xm:f>Reference!$A$16:$A$17</xm:f>
          </x14:formula1>
          <xm:sqref>E20 E18:G18 G20 E75:F75 E40:E56 F44 E29:G29 F8:F10 G40:G71 G73:G75</xm:sqref>
        </x14:dataValidation>
        <x14:dataValidation type="list" allowBlank="1" showInputMessage="1" showErrorMessage="1" xr:uid="{4417E89D-6B64-4373-90AE-EC9675CF119B}">
          <x14:formula1>
            <xm:f>Reference!$A$26:$A$28</xm:f>
          </x14:formula1>
          <xm:sqref>H104:J104 H100:J100 H96:J96 H92:J92</xm:sqref>
        </x14:dataValidation>
        <x14:dataValidation type="list" allowBlank="1" showInputMessage="1" showErrorMessage="1" xr:uid="{37D5AEE4-6F91-41C7-B12C-3E1A54317A43}">
          <x14:formula1>
            <xm:f>Reference!$G$36:$G$38</xm:f>
          </x14:formula1>
          <xm:sqref>W20 V45:V46</xm:sqref>
        </x14:dataValidation>
        <x14:dataValidation type="list" allowBlank="1" showInputMessage="1" showErrorMessage="1" xr:uid="{097C00AE-42DA-4395-B706-FAA695CB5ADF}">
          <x14:formula1>
            <xm:f>Reference3!$A$46:$A$47</xm:f>
          </x14:formula1>
          <xm:sqref>J18 J20 J47:J53 J45 J29</xm:sqref>
        </x14:dataValidation>
        <x14:dataValidation type="list" allowBlank="1" showInputMessage="1" showErrorMessage="1" xr:uid="{E0C28749-FAB2-4FF6-AC34-F6CD0B9B8BB3}">
          <x14:formula1>
            <xm:f>Reference!$C$26:$C$30</xm:f>
          </x14:formula1>
          <xm:sqref>V40</xm:sqref>
        </x14:dataValidation>
        <x14:dataValidation type="list" allowBlank="1" showInputMessage="1" showErrorMessage="1" xr:uid="{57CE276C-54C3-40BF-A127-FDD7179211E0}">
          <x14:formula1>
            <xm:f>Reference!$C$43:$C$46</xm:f>
          </x14:formula1>
          <xm:sqref>V47:V50</xm:sqref>
        </x14:dataValidation>
        <x14:dataValidation type="list" allowBlank="1" showInputMessage="1" showErrorMessage="1" xr:uid="{BDB966CF-93D3-4E44-AA5E-753ABD7A4BF5}">
          <x14:formula1>
            <xm:f>Reference3!$C$46:$C$47</xm:f>
          </x14:formula1>
          <xm:sqref>J40</xm:sqref>
        </x14:dataValidation>
        <x14:dataValidation type="list" allowBlank="1" showInputMessage="1" showErrorMessage="1" xr:uid="{0C4CB946-1F16-48CC-A994-17E8ACCC76DF}">
          <x14:formula1>
            <xm:f>Reference3!$A$50:$A$51</xm:f>
          </x14:formula1>
          <xm:sqref>F62:F70 F45:F56 F58:F60 F40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EF9AD-FB1B-45B4-A2CF-DA21906B6B73}">
  <dimension ref="A1:P67"/>
  <sheetViews>
    <sheetView topLeftCell="A36" workbookViewId="0">
      <selection activeCell="F54" sqref="F54"/>
    </sheetView>
  </sheetViews>
  <sheetFormatPr defaultRowHeight="15" x14ac:dyDescent="0.25"/>
  <cols>
    <col min="2" max="2" width="16" customWidth="1"/>
    <col min="3" max="3" width="43.85546875" customWidth="1"/>
    <col min="4" max="4" width="20" customWidth="1"/>
    <col min="5" max="5" width="2.5703125" customWidth="1"/>
    <col min="6" max="6" width="12.85546875" customWidth="1"/>
    <col min="7" max="7" width="2.5703125" customWidth="1"/>
    <col min="8" max="8" width="12.85546875" style="3" customWidth="1"/>
    <col min="9" max="9" width="9.28515625" customWidth="1"/>
  </cols>
  <sheetData>
    <row r="1" spans="1:16" x14ac:dyDescent="0.25">
      <c r="A1" s="119" t="s">
        <v>211</v>
      </c>
    </row>
    <row r="2" spans="1:16" ht="26.25" x14ac:dyDescent="0.4">
      <c r="B2" s="29" t="s">
        <v>212</v>
      </c>
    </row>
    <row r="4" spans="1:16" x14ac:dyDescent="0.25">
      <c r="C4" t="s">
        <v>36</v>
      </c>
      <c r="D4" s="14" t="str">
        <f>'Property Information'!D29</f>
        <v>Main Panel</v>
      </c>
      <c r="I4" s="1"/>
    </row>
    <row r="5" spans="1:16" x14ac:dyDescent="0.25">
      <c r="C5" t="s">
        <v>38</v>
      </c>
      <c r="D5" s="14" t="str">
        <f>'Property Information'!D30</f>
        <v>240/120 V</v>
      </c>
      <c r="I5" s="1"/>
    </row>
    <row r="6" spans="1:16" x14ac:dyDescent="0.25">
      <c r="C6" t="s">
        <v>213</v>
      </c>
      <c r="D6" s="14">
        <f>'Property Information'!D31</f>
        <v>100</v>
      </c>
      <c r="I6" s="1"/>
    </row>
    <row r="8" spans="1:16" ht="18.75" x14ac:dyDescent="0.3">
      <c r="B8" s="49" t="s">
        <v>95</v>
      </c>
    </row>
    <row r="9" spans="1:16" ht="45.75" thickBot="1" x14ac:dyDescent="0.3">
      <c r="C9" s="5" t="s">
        <v>214</v>
      </c>
      <c r="D9" s="5" t="s">
        <v>215</v>
      </c>
      <c r="E9" s="5"/>
      <c r="F9" s="5"/>
      <c r="G9" s="5"/>
      <c r="H9" s="24" t="s">
        <v>216</v>
      </c>
      <c r="K9" s="4" t="s">
        <v>217</v>
      </c>
      <c r="L9" s="4" t="s">
        <v>218</v>
      </c>
      <c r="P9" s="7"/>
    </row>
    <row r="10" spans="1:16" x14ac:dyDescent="0.25">
      <c r="B10" s="6" t="s">
        <v>219</v>
      </c>
      <c r="C10" s="9" t="s">
        <v>220</v>
      </c>
      <c r="H10" s="72">
        <f>'Existing Systems and Loads'!O40</f>
        <v>4500</v>
      </c>
      <c r="J10" s="53"/>
      <c r="K10" s="82">
        <f>H10</f>
        <v>4500</v>
      </c>
      <c r="P10" s="1"/>
    </row>
    <row r="11" spans="1:16" x14ac:dyDescent="0.25">
      <c r="C11" s="9" t="s">
        <v>221</v>
      </c>
      <c r="H11" s="73">
        <f>'Existing Systems and Loads'!O41</f>
        <v>3000</v>
      </c>
      <c r="I11" s="1"/>
      <c r="J11" s="53"/>
      <c r="K11" s="82">
        <f t="shared" ref="K11:K12" si="0">H11</f>
        <v>3000</v>
      </c>
    </row>
    <row r="12" spans="1:16" x14ac:dyDescent="0.25">
      <c r="C12" s="9" t="s">
        <v>105</v>
      </c>
      <c r="D12" s="16"/>
      <c r="H12" s="73">
        <f>'Existing Systems and Loads'!O42</f>
        <v>1500</v>
      </c>
      <c r="I12" s="1"/>
      <c r="J12" s="53"/>
      <c r="K12" s="82">
        <f t="shared" si="0"/>
        <v>1500</v>
      </c>
    </row>
    <row r="13" spans="1:16" x14ac:dyDescent="0.25">
      <c r="C13" s="25"/>
    </row>
    <row r="14" spans="1:16" x14ac:dyDescent="0.25">
      <c r="B14" s="6" t="s">
        <v>222</v>
      </c>
      <c r="C14" s="25"/>
    </row>
    <row r="15" spans="1:16" x14ac:dyDescent="0.25">
      <c r="C15" s="94" t="s">
        <v>167</v>
      </c>
      <c r="H15" s="73">
        <f>'Existing Systems and Loads'!O21</f>
        <v>480</v>
      </c>
      <c r="J15" s="81"/>
      <c r="L15" s="82">
        <f>H15</f>
        <v>480</v>
      </c>
    </row>
    <row r="16" spans="1:16" x14ac:dyDescent="0.25">
      <c r="C16" t="s">
        <v>223</v>
      </c>
      <c r="H16" s="73">
        <f>'Existing Systems and Loads'!O22</f>
        <v>480</v>
      </c>
      <c r="J16" s="81"/>
      <c r="L16" s="82">
        <f>H16</f>
        <v>480</v>
      </c>
    </row>
    <row r="17" spans="2:12" x14ac:dyDescent="0.25">
      <c r="C17" s="25"/>
    </row>
    <row r="18" spans="2:12" x14ac:dyDescent="0.25">
      <c r="B18" s="6" t="s">
        <v>224</v>
      </c>
      <c r="C18" s="25"/>
    </row>
    <row r="19" spans="2:12" x14ac:dyDescent="0.25">
      <c r="C19" t="s">
        <v>225</v>
      </c>
      <c r="D19" s="16"/>
      <c r="H19" s="73">
        <f>'Existing Systems and Loads'!O23</f>
        <v>480</v>
      </c>
      <c r="J19" s="81"/>
      <c r="L19" s="82">
        <f t="shared" ref="L19:L22" si="1">H19</f>
        <v>480</v>
      </c>
    </row>
    <row r="20" spans="2:12" x14ac:dyDescent="0.25">
      <c r="C20" s="9" t="s">
        <v>226</v>
      </c>
      <c r="H20" s="73" t="str">
        <f>'Existing Systems and Loads'!O24</f>
        <v/>
      </c>
      <c r="J20" s="81"/>
      <c r="L20" s="82" t="str">
        <f t="shared" si="1"/>
        <v/>
      </c>
    </row>
    <row r="21" spans="2:12" x14ac:dyDescent="0.25">
      <c r="C21" s="9" t="s">
        <v>227</v>
      </c>
      <c r="H21" s="73" t="str">
        <f>'Existing Systems and Loads'!O25</f>
        <v/>
      </c>
      <c r="J21" s="81"/>
      <c r="L21" s="82" t="str">
        <f t="shared" si="1"/>
        <v/>
      </c>
    </row>
    <row r="22" spans="2:12" x14ac:dyDescent="0.25">
      <c r="C22" s="9" t="s">
        <v>228</v>
      </c>
      <c r="H22" s="73" t="str">
        <f>'Existing Systems and Loads'!O26</f>
        <v/>
      </c>
      <c r="J22" s="81"/>
      <c r="L22" s="82" t="str">
        <f t="shared" si="1"/>
        <v/>
      </c>
    </row>
    <row r="23" spans="2:12" x14ac:dyDescent="0.25">
      <c r="C23" s="94" t="s">
        <v>109</v>
      </c>
      <c r="H23" s="73">
        <f>'Existing Systems and Loads'!O46</f>
        <v>750</v>
      </c>
      <c r="J23" s="53"/>
      <c r="K23" s="82">
        <f t="shared" ref="K23:K28" si="2">H23</f>
        <v>750</v>
      </c>
    </row>
    <row r="24" spans="2:12" x14ac:dyDescent="0.25">
      <c r="C24" t="s">
        <v>110</v>
      </c>
      <c r="D24" s="16"/>
      <c r="H24" s="73">
        <f>'Existing Systems and Loads'!O47</f>
        <v>600</v>
      </c>
      <c r="I24" s="1"/>
      <c r="J24" s="53"/>
      <c r="K24" s="82">
        <f t="shared" si="2"/>
        <v>600</v>
      </c>
    </row>
    <row r="25" spans="2:12" x14ac:dyDescent="0.25">
      <c r="C25" t="s">
        <v>111</v>
      </c>
      <c r="D25" s="16"/>
      <c r="H25" s="73">
        <f>'Existing Systems and Loads'!O48</f>
        <v>1200</v>
      </c>
      <c r="I25" s="1"/>
      <c r="J25" s="53"/>
      <c r="K25" s="82">
        <f t="shared" si="2"/>
        <v>1200</v>
      </c>
    </row>
    <row r="26" spans="2:12" x14ac:dyDescent="0.25">
      <c r="C26" t="s">
        <v>112</v>
      </c>
      <c r="D26" s="16"/>
      <c r="H26" s="73">
        <f>'Existing Systems and Loads'!O49</f>
        <v>1500</v>
      </c>
      <c r="I26" s="1"/>
      <c r="J26" s="53"/>
      <c r="K26" s="82">
        <f t="shared" si="2"/>
        <v>1500</v>
      </c>
    </row>
    <row r="27" spans="2:12" x14ac:dyDescent="0.25">
      <c r="C27" s="47" t="s">
        <v>113</v>
      </c>
      <c r="D27" s="16"/>
      <c r="H27" s="73">
        <f>'Existing Systems and Loads'!O50</f>
        <v>250</v>
      </c>
      <c r="I27" s="1"/>
      <c r="J27" s="53"/>
      <c r="K27" s="82">
        <f t="shared" si="2"/>
        <v>250</v>
      </c>
    </row>
    <row r="28" spans="2:12" x14ac:dyDescent="0.25">
      <c r="C28" t="s">
        <v>114</v>
      </c>
      <c r="D28" s="16"/>
      <c r="H28" s="73">
        <f>'Existing Systems and Loads'!O51</f>
        <v>300</v>
      </c>
      <c r="I28" s="1"/>
      <c r="J28" s="53"/>
      <c r="K28" s="82">
        <f t="shared" si="2"/>
        <v>300</v>
      </c>
    </row>
    <row r="29" spans="2:12" x14ac:dyDescent="0.25">
      <c r="D29" s="16"/>
      <c r="H29" s="91"/>
      <c r="I29" s="1"/>
      <c r="K29" s="82"/>
    </row>
    <row r="30" spans="2:12" x14ac:dyDescent="0.25">
      <c r="B30" s="6" t="s">
        <v>229</v>
      </c>
      <c r="D30" s="16"/>
      <c r="H30" s="92"/>
      <c r="I30" s="1"/>
      <c r="K30" s="82"/>
    </row>
    <row r="31" spans="2:12" x14ac:dyDescent="0.25">
      <c r="C31" t="s">
        <v>115</v>
      </c>
      <c r="D31" s="48" t="str">
        <f>IF('Existing Systems and Loads'!B52="Y",'Existing Systems and Loads'!E52,"")</f>
        <v/>
      </c>
      <c r="H31" s="73" t="str">
        <f>'Existing Systems and Loads'!O52</f>
        <v/>
      </c>
      <c r="I31" s="1"/>
      <c r="J31" s="53"/>
      <c r="K31" s="82" t="str">
        <f>H31</f>
        <v/>
      </c>
    </row>
    <row r="32" spans="2:12" x14ac:dyDescent="0.25">
      <c r="C32" t="s">
        <v>116</v>
      </c>
      <c r="D32" s="48" t="str">
        <f>IF('Existing Systems and Loads'!B53="Y",'Existing Systems and Loads'!E53,"")</f>
        <v/>
      </c>
      <c r="H32" s="73" t="str">
        <f>'Existing Systems and Loads'!O53</f>
        <v/>
      </c>
      <c r="I32" s="1"/>
      <c r="J32" s="53"/>
      <c r="K32" s="82" t="str">
        <f t="shared" ref="K32:K33" si="3">H32</f>
        <v/>
      </c>
    </row>
    <row r="33" spans="2:12" x14ac:dyDescent="0.25">
      <c r="C33" t="s">
        <v>117</v>
      </c>
      <c r="D33" s="48" t="str">
        <f>IF('Existing Systems and Loads'!B54="Y",'Existing Systems and Loads'!E54,"")</f>
        <v/>
      </c>
      <c r="H33" s="73" t="str">
        <f>'Existing Systems and Loads'!O54</f>
        <v/>
      </c>
      <c r="I33" s="1"/>
      <c r="J33" s="53"/>
      <c r="K33" s="82" t="str">
        <f t="shared" si="3"/>
        <v/>
      </c>
    </row>
    <row r="34" spans="2:12" x14ac:dyDescent="0.25">
      <c r="D34" s="16"/>
      <c r="H34" s="91"/>
      <c r="I34" s="1"/>
      <c r="K34" s="82"/>
    </row>
    <row r="35" spans="2:12" x14ac:dyDescent="0.25">
      <c r="B35" s="6" t="s">
        <v>230</v>
      </c>
      <c r="D35" s="16"/>
      <c r="H35" s="93"/>
      <c r="I35" s="1"/>
      <c r="K35" s="82"/>
    </row>
    <row r="36" spans="2:12" x14ac:dyDescent="0.25">
      <c r="C36" t="s">
        <v>231</v>
      </c>
      <c r="D36" s="48" t="str">
        <f>IF('Existing Systems and Loads'!B30="Y",'Existing Systems and Loads'!E30,"")</f>
        <v/>
      </c>
      <c r="H36" s="73" t="str">
        <f>'Existing Systems and Loads'!O30</f>
        <v/>
      </c>
      <c r="I36" s="1"/>
      <c r="J36" s="81"/>
      <c r="L36" s="82" t="str">
        <f t="shared" ref="L36:L38" si="4">H36</f>
        <v/>
      </c>
    </row>
    <row r="37" spans="2:12" x14ac:dyDescent="0.25">
      <c r="C37" t="s">
        <v>232</v>
      </c>
      <c r="D37" s="48" t="str">
        <f>IF('Existing Systems and Loads'!B31="Y",'Existing Systems and Loads'!E31,"")</f>
        <v/>
      </c>
      <c r="H37" s="73" t="str">
        <f>'Existing Systems and Loads'!O31</f>
        <v/>
      </c>
      <c r="I37" s="1"/>
      <c r="J37" s="81"/>
      <c r="L37" s="82" t="str">
        <f t="shared" si="4"/>
        <v/>
      </c>
    </row>
    <row r="38" spans="2:12" x14ac:dyDescent="0.25">
      <c r="C38" t="s">
        <v>233</v>
      </c>
      <c r="D38" s="48" t="str">
        <f>IF('Existing Systems and Loads'!B32="Y",'Existing Systems and Loads'!E32,"")</f>
        <v/>
      </c>
      <c r="H38" s="73" t="str">
        <f>'Existing Systems and Loads'!O32</f>
        <v/>
      </c>
      <c r="I38" s="1"/>
      <c r="J38" s="81"/>
      <c r="L38" s="82" t="str">
        <f t="shared" si="4"/>
        <v/>
      </c>
    </row>
    <row r="39" spans="2:12" x14ac:dyDescent="0.25">
      <c r="D39" s="16"/>
      <c r="H39" s="93"/>
      <c r="I39" s="1"/>
      <c r="K39" s="82"/>
    </row>
    <row r="40" spans="2:12" x14ac:dyDescent="0.25">
      <c r="B40" s="6" t="s">
        <v>234</v>
      </c>
      <c r="D40" s="16"/>
      <c r="H40" s="92"/>
      <c r="I40" s="1"/>
      <c r="K40" s="82"/>
    </row>
    <row r="41" spans="2:12" x14ac:dyDescent="0.25">
      <c r="C41" t="s">
        <v>235</v>
      </c>
      <c r="D41" s="16"/>
      <c r="H41" s="73">
        <f>'Existing Systems and Loads'!O27</f>
        <v>305</v>
      </c>
      <c r="I41" s="1"/>
      <c r="J41" s="81"/>
      <c r="K41" s="82"/>
      <c r="L41" s="82">
        <f t="shared" ref="L41:L42" si="5">H41</f>
        <v>305</v>
      </c>
    </row>
    <row r="42" spans="2:12" x14ac:dyDescent="0.25">
      <c r="C42" t="s">
        <v>130</v>
      </c>
      <c r="D42" s="16" t="str">
        <f>IF('Existing Systems and Loads'!B52="Y",'Existing Systems and Loads'!E52,"")</f>
        <v/>
      </c>
      <c r="H42" s="73" t="str">
        <f>'Existing Systems and Loads'!O28</f>
        <v/>
      </c>
      <c r="I42" s="1"/>
      <c r="J42" s="81"/>
      <c r="K42" s="82"/>
      <c r="L42" s="82" t="str">
        <f t="shared" si="5"/>
        <v/>
      </c>
    </row>
    <row r="43" spans="2:12" x14ac:dyDescent="0.25">
      <c r="D43" s="16"/>
      <c r="H43" s="75"/>
    </row>
    <row r="44" spans="2:12" x14ac:dyDescent="0.25">
      <c r="B44" s="104" t="s">
        <v>236</v>
      </c>
      <c r="C44" s="105"/>
      <c r="D44" s="106"/>
      <c r="E44" s="105"/>
      <c r="F44" s="105"/>
      <c r="G44" s="105"/>
      <c r="H44" s="107"/>
      <c r="I44" s="23"/>
    </row>
    <row r="45" spans="2:12" x14ac:dyDescent="0.25">
      <c r="B45" s="21"/>
      <c r="C45" s="20" t="s">
        <v>58</v>
      </c>
      <c r="D45" s="27" t="s">
        <v>237</v>
      </c>
      <c r="F45" s="97">
        <f>'Existing Systems and Loads'!O16</f>
        <v>100</v>
      </c>
      <c r="H45" s="246">
        <f>MAX(F45:F46)+F47+F48</f>
        <v>4680</v>
      </c>
      <c r="L45" s="98"/>
    </row>
    <row r="46" spans="2:12" x14ac:dyDescent="0.25">
      <c r="B46" s="21"/>
      <c r="C46" t="s">
        <v>149</v>
      </c>
      <c r="D46" s="27" t="s">
        <v>237</v>
      </c>
      <c r="F46" s="97">
        <f>'Existing Systems and Loads'!O17</f>
        <v>4080</v>
      </c>
      <c r="H46" s="247"/>
      <c r="I46" s="23"/>
      <c r="L46" s="98"/>
    </row>
    <row r="47" spans="2:12" x14ac:dyDescent="0.25">
      <c r="B47" s="21"/>
      <c r="C47" s="47" t="s">
        <v>65</v>
      </c>
      <c r="D47" s="27" t="s">
        <v>237</v>
      </c>
      <c r="F47" s="97">
        <f>IF('Existing Systems and Loads'!O18="",0,'Existing Systems and Loads'!O18)</f>
        <v>600</v>
      </c>
      <c r="H47" s="108"/>
      <c r="I47" s="23"/>
      <c r="L47" s="82"/>
    </row>
    <row r="48" spans="2:12" x14ac:dyDescent="0.25">
      <c r="B48" s="21"/>
      <c r="C48" s="47" t="s">
        <v>238</v>
      </c>
      <c r="D48" s="27" t="s">
        <v>237</v>
      </c>
      <c r="F48" s="97">
        <f>IF('Existing Systems and Loads'!O19="",0,'Existing Systems and Loads'!O19*0.65)</f>
        <v>0</v>
      </c>
      <c r="H48" s="109"/>
      <c r="I48" s="23"/>
      <c r="L48" s="82"/>
    </row>
    <row r="49" spans="2:14" x14ac:dyDescent="0.25">
      <c r="B49" s="111"/>
      <c r="C49" s="18"/>
      <c r="D49" s="18"/>
      <c r="E49" s="18"/>
      <c r="F49" s="18"/>
      <c r="G49" s="18"/>
      <c r="H49" s="110"/>
      <c r="I49" s="23"/>
      <c r="L49" s="82"/>
    </row>
    <row r="50" spans="2:14" x14ac:dyDescent="0.25">
      <c r="B50" s="6" t="s">
        <v>87</v>
      </c>
      <c r="H50" s="93"/>
      <c r="I50" s="23"/>
      <c r="L50" s="82"/>
    </row>
    <row r="51" spans="2:14" x14ac:dyDescent="0.25">
      <c r="C51" t="s">
        <v>87</v>
      </c>
      <c r="D51" s="27" t="s">
        <v>239</v>
      </c>
      <c r="H51" s="73">
        <f>IF('Existing Systems and Loads'!O29="",0,'Existing Systems and Loads'!O29*0.5)</f>
        <v>3840</v>
      </c>
      <c r="L51" s="82">
        <f>H51</f>
        <v>3840</v>
      </c>
      <c r="N51" s="27" t="s">
        <v>239</v>
      </c>
    </row>
    <row r="52" spans="2:14" x14ac:dyDescent="0.25">
      <c r="H52" s="215"/>
      <c r="L52" s="82"/>
    </row>
    <row r="54" spans="2:14" ht="21" x14ac:dyDescent="0.35">
      <c r="B54" s="30" t="s">
        <v>240</v>
      </c>
      <c r="H54" s="71">
        <f>SUM(H10:H42)</f>
        <v>15345</v>
      </c>
      <c r="K54" s="82">
        <f>SUM(K10:K42)</f>
        <v>13600</v>
      </c>
      <c r="L54" s="82">
        <f>SUM(L10:L42)</f>
        <v>1745</v>
      </c>
    </row>
    <row r="55" spans="2:14" ht="21" x14ac:dyDescent="0.35">
      <c r="B55" s="30"/>
      <c r="H55" s="95"/>
      <c r="K55" s="82"/>
      <c r="L55" s="82"/>
    </row>
    <row r="56" spans="2:14" ht="21" x14ac:dyDescent="0.35">
      <c r="B56" s="30" t="s">
        <v>241</v>
      </c>
      <c r="H56" s="71">
        <f>IF(H54&gt;8000,8000,H54)</f>
        <v>8000</v>
      </c>
      <c r="K56" s="82">
        <f>IF(H54&gt;H56,H56,0)</f>
        <v>8000</v>
      </c>
      <c r="L56" s="82"/>
    </row>
    <row r="57" spans="2:14" ht="21" x14ac:dyDescent="0.35">
      <c r="B57" s="30" t="s">
        <v>242</v>
      </c>
      <c r="H57" s="71">
        <f>IF(H54&gt;H56,(H54-H56)*0.4,H54)</f>
        <v>2938</v>
      </c>
      <c r="K57" s="82">
        <f>IF((K54+L54)&gt;H56,(K54-K56)*0.4,K54)</f>
        <v>2240</v>
      </c>
      <c r="L57" s="82">
        <f>IF((K54+L54)&gt;H56,L54*0.4,(K54-H56+L54)*0.4)</f>
        <v>698</v>
      </c>
    </row>
    <row r="58" spans="2:14" x14ac:dyDescent="0.25">
      <c r="B58" s="6"/>
      <c r="H58" s="99"/>
      <c r="K58" s="82"/>
      <c r="L58" s="82"/>
    </row>
    <row r="59" spans="2:14" x14ac:dyDescent="0.25">
      <c r="B59" s="6" t="s">
        <v>236</v>
      </c>
      <c r="F59" s="103" t="s">
        <v>243</v>
      </c>
      <c r="H59" s="102">
        <f>H45</f>
        <v>4680</v>
      </c>
      <c r="K59" s="82"/>
      <c r="L59" s="82">
        <f>H59</f>
        <v>4680</v>
      </c>
      <c r="N59" s="27"/>
    </row>
    <row r="60" spans="2:14" x14ac:dyDescent="0.25">
      <c r="B60" s="6"/>
      <c r="H60" s="101"/>
      <c r="K60" s="82"/>
      <c r="L60" s="82"/>
    </row>
    <row r="61" spans="2:14" x14ac:dyDescent="0.25">
      <c r="B61" s="6" t="s">
        <v>87</v>
      </c>
      <c r="F61" s="103" t="s">
        <v>244</v>
      </c>
      <c r="H61" s="102">
        <f>IF(H51="","",H51*1.25)</f>
        <v>4800</v>
      </c>
      <c r="K61" s="82"/>
      <c r="L61" s="82">
        <f>H61</f>
        <v>4800</v>
      </c>
      <c r="N61" s="27"/>
    </row>
    <row r="62" spans="2:14" x14ac:dyDescent="0.25">
      <c r="B62" s="6"/>
      <c r="H62" s="100"/>
      <c r="K62" s="82"/>
      <c r="L62" s="82"/>
    </row>
    <row r="63" spans="2:14" ht="21" x14ac:dyDescent="0.35">
      <c r="B63" s="30" t="s">
        <v>245</v>
      </c>
      <c r="H63" s="71">
        <f>IF(H54&gt;H56,H56+H57+H59+H61,H54+H59+H61)</f>
        <v>20418</v>
      </c>
      <c r="K63" s="82">
        <f>K56+K57</f>
        <v>10240</v>
      </c>
      <c r="L63" s="82">
        <f>L59+L57+L61</f>
        <v>10178</v>
      </c>
    </row>
    <row r="64" spans="2:14" ht="21" x14ac:dyDescent="0.35">
      <c r="B64" s="30"/>
      <c r="H64" s="95"/>
      <c r="K64" s="82"/>
      <c r="L64" s="82"/>
    </row>
    <row r="65" spans="2:12" ht="21" x14ac:dyDescent="0.35">
      <c r="B65" s="30" t="s">
        <v>246</v>
      </c>
      <c r="H65" s="51">
        <f>H63/IF($D$5="240/120 V",240,120)</f>
        <v>85.075000000000003</v>
      </c>
      <c r="K65" s="83">
        <f>K63/IF($D$5="240/120 V",240,120)</f>
        <v>42.666666666666664</v>
      </c>
      <c r="L65" s="83">
        <f>L63/IF($D$5="240/120 V",240,120)</f>
        <v>42.408333333333331</v>
      </c>
    </row>
    <row r="66" spans="2:12" ht="6" customHeight="1" x14ac:dyDescent="0.25"/>
    <row r="67" spans="2:12" ht="21" x14ac:dyDescent="0.35">
      <c r="B67" s="30" t="s">
        <v>247</v>
      </c>
      <c r="H67" s="50">
        <f>D6</f>
        <v>100</v>
      </c>
    </row>
  </sheetData>
  <mergeCells count="1">
    <mergeCell ref="H45:H46"/>
  </mergeCells>
  <conditionalFormatting sqref="H65">
    <cfRule type="expression" dxfId="6" priority="1">
      <formula>$H$65&gt;$H$67</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E94D3-3768-474A-BC73-6E7E8AD59C98}">
  <dimension ref="A1:P67"/>
  <sheetViews>
    <sheetView topLeftCell="A36" workbookViewId="0">
      <selection activeCell="D53" sqref="D53"/>
    </sheetView>
  </sheetViews>
  <sheetFormatPr defaultRowHeight="15" x14ac:dyDescent="0.25"/>
  <cols>
    <col min="2" max="2" width="16" customWidth="1"/>
    <col min="3" max="3" width="43.85546875" customWidth="1"/>
    <col min="4" max="4" width="20" customWidth="1"/>
    <col min="5" max="5" width="2.5703125" customWidth="1"/>
    <col min="6" max="6" width="12.85546875" customWidth="1"/>
    <col min="7" max="7" width="2.5703125" customWidth="1"/>
    <col min="8" max="8" width="12.85546875" style="3" customWidth="1"/>
    <col min="9" max="9" width="9.28515625" customWidth="1"/>
  </cols>
  <sheetData>
    <row r="1" spans="1:16" x14ac:dyDescent="0.25">
      <c r="A1" s="119" t="s">
        <v>211</v>
      </c>
    </row>
    <row r="2" spans="1:16" ht="26.25" x14ac:dyDescent="0.4">
      <c r="B2" s="29" t="s">
        <v>212</v>
      </c>
    </row>
    <row r="4" spans="1:16" x14ac:dyDescent="0.25">
      <c r="C4" t="s">
        <v>36</v>
      </c>
      <c r="D4" s="14" t="str">
        <f>'Property Information'!D29</f>
        <v>Main Panel</v>
      </c>
      <c r="I4" s="1"/>
    </row>
    <row r="5" spans="1:16" x14ac:dyDescent="0.25">
      <c r="C5" t="s">
        <v>38</v>
      </c>
      <c r="D5" s="14" t="str">
        <f>'Property Information'!D30</f>
        <v>240/120 V</v>
      </c>
      <c r="I5" s="1"/>
    </row>
    <row r="6" spans="1:16" x14ac:dyDescent="0.25">
      <c r="C6" t="s">
        <v>213</v>
      </c>
      <c r="D6" s="14">
        <f>'Property Information'!D31</f>
        <v>100</v>
      </c>
      <c r="I6" s="1"/>
    </row>
    <row r="8" spans="1:16" ht="18.75" x14ac:dyDescent="0.3">
      <c r="B8" s="49" t="s">
        <v>95</v>
      </c>
    </row>
    <row r="9" spans="1:16" ht="45.75" thickBot="1" x14ac:dyDescent="0.3">
      <c r="C9" s="5" t="s">
        <v>214</v>
      </c>
      <c r="D9" s="5" t="s">
        <v>215</v>
      </c>
      <c r="E9" s="5"/>
      <c r="F9" s="5"/>
      <c r="G9" s="5"/>
      <c r="H9" s="24" t="s">
        <v>216</v>
      </c>
      <c r="P9" s="7"/>
    </row>
    <row r="10" spans="1:16" x14ac:dyDescent="0.25">
      <c r="B10" s="6" t="s">
        <v>219</v>
      </c>
      <c r="C10" s="9" t="s">
        <v>220</v>
      </c>
      <c r="H10" s="72">
        <f>'Existing Systems and Loads'!O40</f>
        <v>4500</v>
      </c>
      <c r="J10" s="53"/>
      <c r="K10" s="82">
        <f>H10</f>
        <v>4500</v>
      </c>
      <c r="P10" s="1"/>
    </row>
    <row r="11" spans="1:16" x14ac:dyDescent="0.25">
      <c r="C11" s="9" t="s">
        <v>221</v>
      </c>
      <c r="H11" s="73">
        <f>'Existing Systems and Loads'!O41</f>
        <v>3000</v>
      </c>
      <c r="I11" s="1"/>
      <c r="J11" s="53"/>
      <c r="K11" s="82">
        <f t="shared" ref="K11:K12" si="0">H11</f>
        <v>3000</v>
      </c>
    </row>
    <row r="12" spans="1:16" x14ac:dyDescent="0.25">
      <c r="C12" s="9" t="s">
        <v>105</v>
      </c>
      <c r="D12" s="16"/>
      <c r="H12" s="73">
        <f>'Existing Systems and Loads'!O42</f>
        <v>1500</v>
      </c>
      <c r="I12" s="1"/>
      <c r="J12" s="53"/>
      <c r="K12" s="82">
        <f t="shared" si="0"/>
        <v>1500</v>
      </c>
    </row>
    <row r="13" spans="1:16" x14ac:dyDescent="0.25">
      <c r="C13" s="25"/>
    </row>
    <row r="14" spans="1:16" x14ac:dyDescent="0.25">
      <c r="B14" s="6" t="s">
        <v>222</v>
      </c>
      <c r="C14" s="25"/>
    </row>
    <row r="15" spans="1:16" x14ac:dyDescent="0.25">
      <c r="C15" s="94" t="s">
        <v>167</v>
      </c>
      <c r="H15" s="73">
        <f>'Electrification Upgrades'!V29</f>
        <v>480</v>
      </c>
      <c r="J15" s="81"/>
      <c r="L15" s="82">
        <f>H15</f>
        <v>480</v>
      </c>
    </row>
    <row r="16" spans="1:16" x14ac:dyDescent="0.25">
      <c r="C16" t="s">
        <v>223</v>
      </c>
      <c r="H16" s="73">
        <f>'Electrification Upgrades'!V30</f>
        <v>4000</v>
      </c>
      <c r="J16" s="81"/>
      <c r="L16" s="82">
        <f>H16</f>
        <v>4000</v>
      </c>
    </row>
    <row r="17" spans="2:12" x14ac:dyDescent="0.25">
      <c r="C17" s="25"/>
    </row>
    <row r="18" spans="2:12" x14ac:dyDescent="0.25">
      <c r="B18" s="6" t="s">
        <v>224</v>
      </c>
      <c r="C18" s="25"/>
    </row>
    <row r="19" spans="2:12" x14ac:dyDescent="0.25">
      <c r="C19" t="s">
        <v>225</v>
      </c>
      <c r="D19" s="16"/>
      <c r="H19" s="73">
        <f>'Electrification Upgrades'!V31</f>
        <v>4800</v>
      </c>
      <c r="J19" s="81"/>
      <c r="L19" s="82">
        <f t="shared" ref="L19:L22" si="1">H19</f>
        <v>4800</v>
      </c>
    </row>
    <row r="20" spans="2:12" x14ac:dyDescent="0.25">
      <c r="C20" s="9" t="s">
        <v>226</v>
      </c>
      <c r="H20" s="73" t="str">
        <f>'Electrification Upgrades'!V32</f>
        <v/>
      </c>
      <c r="J20" s="81"/>
      <c r="L20" s="82" t="str">
        <f t="shared" si="1"/>
        <v/>
      </c>
    </row>
    <row r="21" spans="2:12" x14ac:dyDescent="0.25">
      <c r="C21" s="9" t="s">
        <v>227</v>
      </c>
      <c r="H21" s="73" t="str">
        <f>'Electrification Upgrades'!V33</f>
        <v/>
      </c>
      <c r="J21" s="81"/>
      <c r="L21" s="82" t="str">
        <f t="shared" si="1"/>
        <v/>
      </c>
    </row>
    <row r="22" spans="2:12" x14ac:dyDescent="0.25">
      <c r="C22" s="9" t="s">
        <v>228</v>
      </c>
      <c r="H22" s="73" t="str">
        <f>'Electrification Upgrades'!V34</f>
        <v/>
      </c>
      <c r="J22" s="81"/>
      <c r="L22" s="82" t="str">
        <f t="shared" si="1"/>
        <v/>
      </c>
    </row>
    <row r="23" spans="2:12" x14ac:dyDescent="0.25">
      <c r="C23" s="94" t="s">
        <v>109</v>
      </c>
      <c r="H23" s="73">
        <f>'Existing Systems and Loads'!O46</f>
        <v>750</v>
      </c>
      <c r="J23" s="53"/>
      <c r="K23" s="82">
        <f t="shared" ref="K23:K28" si="2">H23</f>
        <v>750</v>
      </c>
    </row>
    <row r="24" spans="2:12" x14ac:dyDescent="0.25">
      <c r="C24" t="s">
        <v>110</v>
      </c>
      <c r="D24" s="16"/>
      <c r="H24" s="73">
        <f>'Existing Systems and Loads'!O47</f>
        <v>600</v>
      </c>
      <c r="I24" s="1"/>
      <c r="J24" s="53"/>
      <c r="K24" s="82">
        <f t="shared" si="2"/>
        <v>600</v>
      </c>
    </row>
    <row r="25" spans="2:12" x14ac:dyDescent="0.25">
      <c r="C25" t="s">
        <v>111</v>
      </c>
      <c r="D25" s="16"/>
      <c r="H25" s="73">
        <f>'Existing Systems and Loads'!O48</f>
        <v>1200</v>
      </c>
      <c r="I25" s="1"/>
      <c r="J25" s="53"/>
      <c r="K25" s="82">
        <f t="shared" si="2"/>
        <v>1200</v>
      </c>
    </row>
    <row r="26" spans="2:12" x14ac:dyDescent="0.25">
      <c r="C26" t="s">
        <v>112</v>
      </c>
      <c r="D26" s="16"/>
      <c r="H26" s="73">
        <f>'Existing Systems and Loads'!O49</f>
        <v>1500</v>
      </c>
      <c r="I26" s="1"/>
      <c r="J26" s="53"/>
      <c r="K26" s="82">
        <f t="shared" si="2"/>
        <v>1500</v>
      </c>
    </row>
    <row r="27" spans="2:12" x14ac:dyDescent="0.25">
      <c r="C27" s="47" t="s">
        <v>113</v>
      </c>
      <c r="D27" s="16"/>
      <c r="H27" s="73">
        <f>'Existing Systems and Loads'!O50</f>
        <v>250</v>
      </c>
      <c r="I27" s="1"/>
      <c r="J27" s="53"/>
      <c r="K27" s="82">
        <f t="shared" si="2"/>
        <v>250</v>
      </c>
    </row>
    <row r="28" spans="2:12" x14ac:dyDescent="0.25">
      <c r="C28" t="s">
        <v>114</v>
      </c>
      <c r="D28" s="16"/>
      <c r="H28" s="73">
        <f>'Existing Systems and Loads'!O51</f>
        <v>300</v>
      </c>
      <c r="I28" s="1"/>
      <c r="J28" s="53"/>
      <c r="K28" s="82">
        <f t="shared" si="2"/>
        <v>300</v>
      </c>
    </row>
    <row r="29" spans="2:12" x14ac:dyDescent="0.25">
      <c r="D29" s="16"/>
      <c r="H29" s="91"/>
      <c r="I29" s="1"/>
      <c r="K29" s="82"/>
    </row>
    <row r="30" spans="2:12" x14ac:dyDescent="0.25">
      <c r="B30" s="6" t="s">
        <v>229</v>
      </c>
      <c r="D30" s="16"/>
      <c r="H30" s="92"/>
      <c r="I30" s="1"/>
      <c r="K30" s="82"/>
    </row>
    <row r="31" spans="2:12" x14ac:dyDescent="0.25">
      <c r="C31" t="s">
        <v>115</v>
      </c>
      <c r="D31" s="48" t="str">
        <f>IF('Existing Systems and Loads'!B52="Y",'Existing Systems and Loads'!E52,"")</f>
        <v/>
      </c>
      <c r="H31" s="73" t="str">
        <f>'Existing Systems and Loads'!O52</f>
        <v/>
      </c>
      <c r="I31" s="1"/>
      <c r="J31" s="53"/>
      <c r="K31" s="82" t="str">
        <f>H31</f>
        <v/>
      </c>
    </row>
    <row r="32" spans="2:12" x14ac:dyDescent="0.25">
      <c r="C32" t="s">
        <v>116</v>
      </c>
      <c r="D32" s="48" t="str">
        <f>IF('Existing Systems and Loads'!B53="Y",'Existing Systems and Loads'!E53,"")</f>
        <v/>
      </c>
      <c r="H32" s="73" t="str">
        <f>'Existing Systems and Loads'!O53</f>
        <v/>
      </c>
      <c r="I32" s="1"/>
      <c r="J32" s="53"/>
      <c r="K32" s="82" t="str">
        <f t="shared" ref="K32:K33" si="3">H32</f>
        <v/>
      </c>
    </row>
    <row r="33" spans="2:13" x14ac:dyDescent="0.25">
      <c r="C33" t="s">
        <v>117</v>
      </c>
      <c r="D33" s="48" t="str">
        <f>IF('Existing Systems and Loads'!B54="Y",'Existing Systems and Loads'!E54,"")</f>
        <v/>
      </c>
      <c r="H33" s="73" t="str">
        <f>'Existing Systems and Loads'!O54</f>
        <v/>
      </c>
      <c r="I33" s="1"/>
      <c r="J33" s="53"/>
      <c r="K33" s="82" t="str">
        <f t="shared" si="3"/>
        <v/>
      </c>
    </row>
    <row r="34" spans="2:13" x14ac:dyDescent="0.25">
      <c r="D34" s="16"/>
      <c r="H34" s="91"/>
      <c r="I34" s="1"/>
      <c r="K34" s="82"/>
    </row>
    <row r="35" spans="2:13" x14ac:dyDescent="0.25">
      <c r="B35" s="6" t="s">
        <v>230</v>
      </c>
      <c r="D35" s="16"/>
      <c r="H35" s="93"/>
      <c r="I35" s="1"/>
      <c r="K35" s="82"/>
    </row>
    <row r="36" spans="2:13" x14ac:dyDescent="0.25">
      <c r="C36" t="s">
        <v>231</v>
      </c>
      <c r="D36" s="48" t="str">
        <f>IF('Existing Systems and Loads'!B30="Y",'Existing Systems and Loads'!E30,"")</f>
        <v/>
      </c>
      <c r="H36" s="73" t="str">
        <f>'Electrification Upgrades'!V38</f>
        <v/>
      </c>
      <c r="I36" s="1"/>
      <c r="J36" s="81"/>
      <c r="L36" s="82" t="str">
        <f t="shared" ref="L36:L38" si="4">H36</f>
        <v/>
      </c>
    </row>
    <row r="37" spans="2:13" x14ac:dyDescent="0.25">
      <c r="C37" t="s">
        <v>232</v>
      </c>
      <c r="D37" s="48" t="str">
        <f>IF('Existing Systems and Loads'!B31="Y",'Existing Systems and Loads'!E31,"")</f>
        <v/>
      </c>
      <c r="H37" s="73" t="str">
        <f>'Electrification Upgrades'!V39</f>
        <v/>
      </c>
      <c r="I37" s="1"/>
      <c r="J37" s="81"/>
      <c r="L37" s="82" t="str">
        <f t="shared" si="4"/>
        <v/>
      </c>
    </row>
    <row r="38" spans="2:13" x14ac:dyDescent="0.25">
      <c r="C38" t="s">
        <v>233</v>
      </c>
      <c r="D38" s="48" t="str">
        <f>IF('Existing Systems and Loads'!B32="Y",'Existing Systems and Loads'!E32,"")</f>
        <v/>
      </c>
      <c r="H38" s="73" t="str">
        <f>'Electrification Upgrades'!V40</f>
        <v/>
      </c>
      <c r="I38" s="1"/>
      <c r="J38" s="81"/>
      <c r="L38" s="82" t="str">
        <f t="shared" si="4"/>
        <v/>
      </c>
    </row>
    <row r="39" spans="2:13" x14ac:dyDescent="0.25">
      <c r="D39" s="16"/>
      <c r="H39" s="93"/>
      <c r="I39" s="1"/>
      <c r="K39" s="82"/>
    </row>
    <row r="40" spans="2:13" x14ac:dyDescent="0.25">
      <c r="B40" s="6" t="s">
        <v>234</v>
      </c>
      <c r="D40" s="16"/>
      <c r="H40" s="92"/>
      <c r="I40" s="1"/>
      <c r="K40" s="82"/>
    </row>
    <row r="41" spans="2:13" x14ac:dyDescent="0.25">
      <c r="C41" t="s">
        <v>235</v>
      </c>
      <c r="D41" s="16"/>
      <c r="H41" s="73">
        <f>'Electrification Upgrades'!V35</f>
        <v>4500</v>
      </c>
      <c r="I41" s="1"/>
      <c r="J41" s="81"/>
      <c r="K41" s="82"/>
      <c r="L41" s="82">
        <f t="shared" ref="L41:L42" si="5">H41</f>
        <v>4500</v>
      </c>
    </row>
    <row r="42" spans="2:13" x14ac:dyDescent="0.25">
      <c r="C42" t="s">
        <v>130</v>
      </c>
      <c r="D42" s="16" t="str">
        <f>IF('Existing Systems and Loads'!B52="Y",'Existing Systems and Loads'!E52,"")</f>
        <v/>
      </c>
      <c r="H42" s="73" t="str">
        <f>'Electrification Upgrades'!V36</f>
        <v/>
      </c>
      <c r="I42" s="1"/>
      <c r="J42" s="81"/>
      <c r="K42" s="82"/>
      <c r="L42" s="82" t="str">
        <f t="shared" si="5"/>
        <v/>
      </c>
    </row>
    <row r="43" spans="2:13" x14ac:dyDescent="0.25">
      <c r="D43" s="16"/>
      <c r="H43" s="75"/>
    </row>
    <row r="44" spans="2:13" x14ac:dyDescent="0.25">
      <c r="B44" s="104" t="s">
        <v>236</v>
      </c>
      <c r="C44" s="105"/>
      <c r="D44" s="106"/>
      <c r="E44" s="105"/>
      <c r="F44" s="105"/>
      <c r="G44" s="105"/>
      <c r="H44" s="107"/>
      <c r="I44" s="23"/>
    </row>
    <row r="45" spans="2:13" x14ac:dyDescent="0.25">
      <c r="B45" s="21"/>
      <c r="C45" s="20" t="s">
        <v>58</v>
      </c>
      <c r="D45" s="27" t="s">
        <v>237</v>
      </c>
      <c r="F45" s="97">
        <f>'Electrification Upgrades'!V24</f>
        <v>4800</v>
      </c>
      <c r="H45" s="246">
        <f>MAX(F45:F46)+F47+F48</f>
        <v>5300</v>
      </c>
      <c r="L45" s="98"/>
      <c r="M45" s="1"/>
    </row>
    <row r="46" spans="2:13" x14ac:dyDescent="0.25">
      <c r="B46" s="21"/>
      <c r="C46" t="s">
        <v>149</v>
      </c>
      <c r="D46" s="27" t="s">
        <v>237</v>
      </c>
      <c r="F46" s="97">
        <f>IF('Electrification Upgrades'!V25="",0,'Electrification Upgrades'!V25)</f>
        <v>0</v>
      </c>
      <c r="H46" s="247"/>
      <c r="I46" s="23"/>
      <c r="L46" s="98"/>
    </row>
    <row r="47" spans="2:13" x14ac:dyDescent="0.25">
      <c r="B47" s="21"/>
      <c r="C47" s="47" t="s">
        <v>65</v>
      </c>
      <c r="D47" s="27" t="s">
        <v>237</v>
      </c>
      <c r="F47" s="97">
        <f>IF('Electrification Upgrades'!V26="",0,'Electrification Upgrades'!V26)</f>
        <v>500</v>
      </c>
      <c r="H47" s="108"/>
      <c r="I47" s="23"/>
      <c r="L47" s="82"/>
    </row>
    <row r="48" spans="2:13" x14ac:dyDescent="0.25">
      <c r="B48" s="21"/>
      <c r="C48" s="47" t="s">
        <v>238</v>
      </c>
      <c r="D48" s="27" t="s">
        <v>237</v>
      </c>
      <c r="F48" s="97">
        <f>IF('Electrification Upgrades'!V27="",0,'Electrification Upgrades'!V27*0.65)</f>
        <v>0</v>
      </c>
      <c r="H48" s="109"/>
      <c r="I48" s="23"/>
      <c r="L48" s="82"/>
    </row>
    <row r="49" spans="2:14" x14ac:dyDescent="0.25">
      <c r="B49" s="111"/>
      <c r="C49" s="18"/>
      <c r="D49" s="18"/>
      <c r="E49" s="18"/>
      <c r="F49" s="18"/>
      <c r="G49" s="18"/>
      <c r="H49" s="110"/>
      <c r="I49" s="23"/>
      <c r="L49" s="82"/>
    </row>
    <row r="50" spans="2:14" x14ac:dyDescent="0.25">
      <c r="B50" s="6" t="s">
        <v>87</v>
      </c>
      <c r="H50" s="93"/>
      <c r="I50" s="23"/>
      <c r="L50" s="82"/>
    </row>
    <row r="51" spans="2:14" x14ac:dyDescent="0.25">
      <c r="C51" t="s">
        <v>87</v>
      </c>
      <c r="D51" s="27" t="s">
        <v>239</v>
      </c>
      <c r="H51" s="73">
        <f>IF('Electrification Upgrades'!V37="",0,'Electrification Upgrades'!V37*0.5)</f>
        <v>6000</v>
      </c>
      <c r="L51" s="82"/>
      <c r="N51" s="27" t="s">
        <v>239</v>
      </c>
    </row>
    <row r="52" spans="2:14" x14ac:dyDescent="0.25">
      <c r="H52" s="74"/>
      <c r="L52" s="82"/>
    </row>
    <row r="54" spans="2:14" ht="21" x14ac:dyDescent="0.35">
      <c r="B54" s="30" t="s">
        <v>240</v>
      </c>
      <c r="H54" s="71">
        <f>SUM(H10:H42)</f>
        <v>27380</v>
      </c>
      <c r="K54" s="82">
        <f>SUM(K10:K42)</f>
        <v>13600</v>
      </c>
      <c r="L54" s="82">
        <f>SUM(L10:L44)</f>
        <v>13780</v>
      </c>
    </row>
    <row r="55" spans="2:14" ht="21" x14ac:dyDescent="0.35">
      <c r="B55" s="30"/>
      <c r="H55" s="95"/>
      <c r="K55" s="82"/>
      <c r="L55" s="82"/>
    </row>
    <row r="56" spans="2:14" ht="21" x14ac:dyDescent="0.35">
      <c r="B56" s="30" t="s">
        <v>241</v>
      </c>
      <c r="H56" s="71">
        <f>IF(H54&gt;8000,8000,H54)</f>
        <v>8000</v>
      </c>
      <c r="K56" s="82">
        <f>IF(H54&gt;H56,H56,0)</f>
        <v>8000</v>
      </c>
      <c r="L56" s="82"/>
    </row>
    <row r="57" spans="2:14" ht="21" x14ac:dyDescent="0.35">
      <c r="B57" s="30" t="s">
        <v>242</v>
      </c>
      <c r="H57" s="71">
        <f>(H54-H56)*0.4</f>
        <v>7752</v>
      </c>
      <c r="K57" s="82">
        <f>IF((K54+L54)&gt;H56,(K54-K56)*0.4,K54)</f>
        <v>2240</v>
      </c>
      <c r="L57" s="82">
        <f>IF((K54+L54)&gt;H56,L54*0.4,(K54-H56+L54)*0.4)</f>
        <v>5512</v>
      </c>
    </row>
    <row r="58" spans="2:14" x14ac:dyDescent="0.25">
      <c r="B58" s="6"/>
      <c r="H58" s="99"/>
      <c r="K58" s="82"/>
      <c r="L58" s="82"/>
    </row>
    <row r="59" spans="2:14" x14ac:dyDescent="0.25">
      <c r="B59" s="6" t="s">
        <v>236</v>
      </c>
      <c r="D59" s="16"/>
      <c r="F59" s="103" t="s">
        <v>243</v>
      </c>
      <c r="H59" s="112">
        <f>H45</f>
        <v>5300</v>
      </c>
      <c r="I59" s="23"/>
      <c r="J59" s="81"/>
      <c r="L59" s="82">
        <f>H59</f>
        <v>5300</v>
      </c>
    </row>
    <row r="60" spans="2:14" x14ac:dyDescent="0.25">
      <c r="C60" s="47"/>
      <c r="H60" s="93"/>
      <c r="I60" s="23"/>
      <c r="L60" s="82"/>
    </row>
    <row r="61" spans="2:14" x14ac:dyDescent="0.25">
      <c r="B61" s="6" t="s">
        <v>87</v>
      </c>
      <c r="F61" s="103" t="s">
        <v>244</v>
      </c>
      <c r="H61" s="73">
        <f>IF(H51="","",H51*1.25)</f>
        <v>7500</v>
      </c>
      <c r="I61" s="23"/>
      <c r="J61" s="81"/>
      <c r="L61" s="82">
        <f>H61</f>
        <v>7500</v>
      </c>
    </row>
    <row r="62" spans="2:14" x14ac:dyDescent="0.25">
      <c r="C62" s="47"/>
      <c r="H62" s="92"/>
      <c r="I62" s="23"/>
      <c r="L62" s="82"/>
    </row>
    <row r="63" spans="2:14" ht="21" x14ac:dyDescent="0.35">
      <c r="B63" s="30" t="s">
        <v>245</v>
      </c>
      <c r="H63" s="71">
        <f>IF(H54&gt;H56,H56+H57+H59+H61,H54+H59+H61)</f>
        <v>28552</v>
      </c>
      <c r="K63" s="82">
        <f>K56+K57</f>
        <v>10240</v>
      </c>
      <c r="L63" s="82">
        <f>L57+L59+L61</f>
        <v>18312</v>
      </c>
    </row>
    <row r="64" spans="2:14" ht="21" x14ac:dyDescent="0.35">
      <c r="B64" s="30"/>
      <c r="H64" s="95"/>
      <c r="K64" s="82"/>
      <c r="L64" s="82"/>
    </row>
    <row r="65" spans="2:12" ht="21" x14ac:dyDescent="0.35">
      <c r="B65" s="30" t="s">
        <v>246</v>
      </c>
      <c r="H65" s="51">
        <f>H63/IF($D$5="240/120 V",240,120)</f>
        <v>118.96666666666667</v>
      </c>
      <c r="K65" s="83">
        <f>K63/IF($D$5="240/120 V",240,120)</f>
        <v>42.666666666666664</v>
      </c>
      <c r="L65" s="83">
        <f>L63/IF($D$5="240/120 V",240,120)</f>
        <v>76.3</v>
      </c>
    </row>
    <row r="66" spans="2:12" ht="6" customHeight="1" x14ac:dyDescent="0.25"/>
    <row r="67" spans="2:12" ht="21" x14ac:dyDescent="0.35">
      <c r="B67" s="30" t="s">
        <v>247</v>
      </c>
      <c r="H67" s="50">
        <f>D6</f>
        <v>100</v>
      </c>
    </row>
  </sheetData>
  <mergeCells count="1">
    <mergeCell ref="H45:H46"/>
  </mergeCells>
  <conditionalFormatting sqref="H65">
    <cfRule type="expression" dxfId="5" priority="1">
      <formula>$H$65&gt;$H$67</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74BD1-2596-41C8-8329-C290058C5C9E}">
  <dimension ref="A1:P67"/>
  <sheetViews>
    <sheetView topLeftCell="A39" workbookViewId="0">
      <selection activeCell="F54" sqref="F54"/>
    </sheetView>
  </sheetViews>
  <sheetFormatPr defaultRowHeight="15" x14ac:dyDescent="0.25"/>
  <cols>
    <col min="2" max="2" width="16" customWidth="1"/>
    <col min="3" max="3" width="43.85546875" customWidth="1"/>
    <col min="4" max="4" width="20" customWidth="1"/>
    <col min="5" max="5" width="2.5703125" customWidth="1"/>
    <col min="6" max="6" width="12.85546875" customWidth="1"/>
    <col min="7" max="7" width="2.5703125" customWidth="1"/>
    <col min="8" max="8" width="12.85546875" style="3" customWidth="1"/>
    <col min="9" max="9" width="9.28515625" customWidth="1"/>
  </cols>
  <sheetData>
    <row r="1" spans="1:16" x14ac:dyDescent="0.25">
      <c r="A1" s="119" t="s">
        <v>211</v>
      </c>
    </row>
    <row r="2" spans="1:16" ht="26.25" x14ac:dyDescent="0.4">
      <c r="B2" s="29" t="s">
        <v>248</v>
      </c>
    </row>
    <row r="4" spans="1:16" x14ac:dyDescent="0.25">
      <c r="C4" t="s">
        <v>36</v>
      </c>
      <c r="D4" s="14" t="str">
        <f>'Property Information'!D29</f>
        <v>Main Panel</v>
      </c>
      <c r="I4" s="1"/>
    </row>
    <row r="5" spans="1:16" x14ac:dyDescent="0.25">
      <c r="C5" t="s">
        <v>38</v>
      </c>
      <c r="D5" s="14" t="str">
        <f>'Property Information'!D30</f>
        <v>240/120 V</v>
      </c>
      <c r="I5" s="1"/>
    </row>
    <row r="6" spans="1:16" x14ac:dyDescent="0.25">
      <c r="C6" t="s">
        <v>213</v>
      </c>
      <c r="D6" s="14">
        <f>'Property Information'!D31</f>
        <v>100</v>
      </c>
      <c r="I6" s="1"/>
    </row>
    <row r="8" spans="1:16" ht="18.75" x14ac:dyDescent="0.3">
      <c r="B8" s="49" t="s">
        <v>95</v>
      </c>
    </row>
    <row r="9" spans="1:16" ht="45.75" thickBot="1" x14ac:dyDescent="0.3">
      <c r="C9" s="5" t="s">
        <v>214</v>
      </c>
      <c r="D9" s="5" t="s">
        <v>215</v>
      </c>
      <c r="E9" s="5"/>
      <c r="F9" s="5"/>
      <c r="G9" s="5"/>
      <c r="H9" s="24" t="s">
        <v>216</v>
      </c>
      <c r="P9" s="7"/>
    </row>
    <row r="10" spans="1:16" x14ac:dyDescent="0.25">
      <c r="B10" s="6" t="s">
        <v>219</v>
      </c>
      <c r="C10" s="9" t="s">
        <v>220</v>
      </c>
      <c r="H10" s="72">
        <f>'Existing Systems and Loads'!O40</f>
        <v>4500</v>
      </c>
      <c r="J10" s="53"/>
      <c r="K10" s="82">
        <f>H10</f>
        <v>4500</v>
      </c>
      <c r="P10" s="1"/>
    </row>
    <row r="11" spans="1:16" x14ac:dyDescent="0.25">
      <c r="C11" s="9" t="s">
        <v>221</v>
      </c>
      <c r="H11" s="73">
        <f>'Existing Systems and Loads'!O41</f>
        <v>3000</v>
      </c>
      <c r="I11" s="1"/>
      <c r="J11" s="53"/>
      <c r="K11" s="82">
        <f t="shared" ref="K11:K12" si="0">H11</f>
        <v>3000</v>
      </c>
    </row>
    <row r="12" spans="1:16" x14ac:dyDescent="0.25">
      <c r="C12" s="9" t="s">
        <v>105</v>
      </c>
      <c r="D12" s="16"/>
      <c r="H12" s="73">
        <f>'Existing Systems and Loads'!O42</f>
        <v>1500</v>
      </c>
      <c r="I12" s="1"/>
      <c r="J12" s="53"/>
      <c r="K12" s="82">
        <f t="shared" si="0"/>
        <v>1500</v>
      </c>
    </row>
    <row r="13" spans="1:16" x14ac:dyDescent="0.25">
      <c r="C13" s="25"/>
    </row>
    <row r="14" spans="1:16" x14ac:dyDescent="0.25">
      <c r="B14" s="6" t="s">
        <v>222</v>
      </c>
      <c r="C14" s="25"/>
    </row>
    <row r="15" spans="1:16" x14ac:dyDescent="0.25">
      <c r="C15" s="94" t="s">
        <v>167</v>
      </c>
      <c r="H15" s="73">
        <f>'Opt. 1 - Low-Power Appliances'!V13</f>
        <v>480</v>
      </c>
      <c r="J15" s="81"/>
      <c r="L15" s="82">
        <f>H15</f>
        <v>480</v>
      </c>
    </row>
    <row r="16" spans="1:16" x14ac:dyDescent="0.25">
      <c r="C16" t="s">
        <v>223</v>
      </c>
      <c r="H16" s="73">
        <f>'Opt. 1 - Low-Power Appliances'!V14</f>
        <v>4000</v>
      </c>
      <c r="J16" s="81"/>
      <c r="L16" s="82">
        <f>H16</f>
        <v>4000</v>
      </c>
    </row>
    <row r="17" spans="2:12" x14ac:dyDescent="0.25">
      <c r="C17" s="25"/>
    </row>
    <row r="18" spans="2:12" x14ac:dyDescent="0.25">
      <c r="B18" s="6" t="s">
        <v>224</v>
      </c>
      <c r="C18" s="25"/>
    </row>
    <row r="19" spans="2:12" x14ac:dyDescent="0.25">
      <c r="C19" t="s">
        <v>225</v>
      </c>
      <c r="D19" s="16"/>
      <c r="H19" s="73">
        <f>'Opt. 1 - Low-Power Appliances'!V22</f>
        <v>4800</v>
      </c>
      <c r="J19" s="81"/>
      <c r="L19" s="82">
        <f t="shared" ref="L19:L22" si="1">H19</f>
        <v>4800</v>
      </c>
    </row>
    <row r="20" spans="2:12" x14ac:dyDescent="0.25">
      <c r="C20" s="9" t="s">
        <v>226</v>
      </c>
      <c r="H20" s="73" t="str">
        <f>'Opt. 1 - Low-Power Appliances'!V23</f>
        <v/>
      </c>
      <c r="J20" s="81"/>
      <c r="L20" s="82" t="str">
        <f t="shared" si="1"/>
        <v/>
      </c>
    </row>
    <row r="21" spans="2:12" x14ac:dyDescent="0.25">
      <c r="C21" s="9" t="s">
        <v>227</v>
      </c>
      <c r="H21" s="73" t="str">
        <f>'Opt. 1 - Low-Power Appliances'!V24</f>
        <v/>
      </c>
      <c r="J21" s="81"/>
      <c r="L21" s="82" t="str">
        <f t="shared" si="1"/>
        <v/>
      </c>
    </row>
    <row r="22" spans="2:12" x14ac:dyDescent="0.25">
      <c r="C22" s="9" t="s">
        <v>228</v>
      </c>
      <c r="H22" s="73" t="str">
        <f>'Opt. 1 - Low-Power Appliances'!V25</f>
        <v/>
      </c>
      <c r="J22" s="81"/>
      <c r="L22" s="82" t="str">
        <f t="shared" si="1"/>
        <v/>
      </c>
    </row>
    <row r="23" spans="2:12" x14ac:dyDescent="0.25">
      <c r="C23" s="94" t="s">
        <v>109</v>
      </c>
      <c r="H23" s="73">
        <f>'Existing Systems and Loads'!O46</f>
        <v>750</v>
      </c>
      <c r="J23" s="53"/>
      <c r="K23" s="82">
        <f t="shared" ref="K23:K28" si="2">H23</f>
        <v>750</v>
      </c>
    </row>
    <row r="24" spans="2:12" x14ac:dyDescent="0.25">
      <c r="C24" t="s">
        <v>110</v>
      </c>
      <c r="D24" s="16"/>
      <c r="H24" s="73">
        <f>'Existing Systems and Loads'!O47</f>
        <v>600</v>
      </c>
      <c r="I24" s="1"/>
      <c r="J24" s="53"/>
      <c r="K24" s="82">
        <f t="shared" si="2"/>
        <v>600</v>
      </c>
    </row>
    <row r="25" spans="2:12" x14ac:dyDescent="0.25">
      <c r="C25" t="s">
        <v>111</v>
      </c>
      <c r="D25" s="16"/>
      <c r="H25" s="73">
        <f>'Existing Systems and Loads'!O48</f>
        <v>1200</v>
      </c>
      <c r="I25" s="1"/>
      <c r="J25" s="53"/>
      <c r="K25" s="82">
        <f t="shared" si="2"/>
        <v>1200</v>
      </c>
    </row>
    <row r="26" spans="2:12" x14ac:dyDescent="0.25">
      <c r="C26" t="s">
        <v>112</v>
      </c>
      <c r="D26" s="16"/>
      <c r="H26" s="73">
        <f>'Existing Systems and Loads'!O49</f>
        <v>1500</v>
      </c>
      <c r="I26" s="1"/>
      <c r="J26" s="53"/>
      <c r="K26" s="82">
        <f t="shared" si="2"/>
        <v>1500</v>
      </c>
    </row>
    <row r="27" spans="2:12" x14ac:dyDescent="0.25">
      <c r="C27" s="47" t="s">
        <v>113</v>
      </c>
      <c r="D27" s="16"/>
      <c r="H27" s="73">
        <f>'Existing Systems and Loads'!O50</f>
        <v>250</v>
      </c>
      <c r="I27" s="1"/>
      <c r="J27" s="53"/>
      <c r="K27" s="82">
        <f t="shared" si="2"/>
        <v>250</v>
      </c>
    </row>
    <row r="28" spans="2:12" x14ac:dyDescent="0.25">
      <c r="C28" t="s">
        <v>114</v>
      </c>
      <c r="D28" s="16"/>
      <c r="H28" s="73">
        <f>'Existing Systems and Loads'!O51</f>
        <v>300</v>
      </c>
      <c r="I28" s="1"/>
      <c r="J28" s="53"/>
      <c r="K28" s="82">
        <f t="shared" si="2"/>
        <v>300</v>
      </c>
    </row>
    <row r="29" spans="2:12" x14ac:dyDescent="0.25">
      <c r="D29" s="16"/>
      <c r="H29" s="91"/>
      <c r="I29" s="1"/>
      <c r="K29" s="82"/>
    </row>
    <row r="30" spans="2:12" x14ac:dyDescent="0.25">
      <c r="B30" s="6" t="s">
        <v>229</v>
      </c>
      <c r="D30" s="16"/>
      <c r="H30" s="92"/>
      <c r="I30" s="1"/>
      <c r="K30" s="82"/>
    </row>
    <row r="31" spans="2:12" x14ac:dyDescent="0.25">
      <c r="C31" t="s">
        <v>115</v>
      </c>
      <c r="D31" s="48" t="str">
        <f>IF('Existing Systems and Loads'!B52="Y",'Existing Systems and Loads'!E52,"")</f>
        <v/>
      </c>
      <c r="H31" s="73" t="str">
        <f>'Existing Systems and Loads'!O52</f>
        <v/>
      </c>
      <c r="I31" s="1"/>
      <c r="J31" s="53"/>
      <c r="K31" s="82" t="str">
        <f>H31</f>
        <v/>
      </c>
    </row>
    <row r="32" spans="2:12" x14ac:dyDescent="0.25">
      <c r="C32" t="s">
        <v>116</v>
      </c>
      <c r="D32" s="48" t="str">
        <f>IF('Existing Systems and Loads'!B53="Y",'Existing Systems and Loads'!E53,"")</f>
        <v/>
      </c>
      <c r="H32" s="73" t="str">
        <f>'Existing Systems and Loads'!O53</f>
        <v/>
      </c>
      <c r="I32" s="1"/>
      <c r="J32" s="53"/>
      <c r="K32" s="82" t="str">
        <f t="shared" ref="K32:K33" si="3">H32</f>
        <v/>
      </c>
    </row>
    <row r="33" spans="2:13" x14ac:dyDescent="0.25">
      <c r="C33" t="s">
        <v>117</v>
      </c>
      <c r="D33" s="48" t="str">
        <f>IF('Existing Systems and Loads'!B54="Y",'Existing Systems and Loads'!E54,"")</f>
        <v/>
      </c>
      <c r="H33" s="73" t="str">
        <f>'Existing Systems and Loads'!O54</f>
        <v/>
      </c>
      <c r="I33" s="1"/>
      <c r="J33" s="53"/>
      <c r="K33" s="82" t="str">
        <f t="shared" si="3"/>
        <v/>
      </c>
    </row>
    <row r="34" spans="2:13" x14ac:dyDescent="0.25">
      <c r="D34" s="16"/>
      <c r="H34" s="91"/>
      <c r="I34" s="1"/>
      <c r="K34" s="82"/>
    </row>
    <row r="35" spans="2:13" x14ac:dyDescent="0.25">
      <c r="B35" s="6" t="s">
        <v>230</v>
      </c>
      <c r="D35" s="16"/>
      <c r="H35" s="93"/>
      <c r="I35" s="1"/>
      <c r="K35" s="82"/>
    </row>
    <row r="36" spans="2:13" x14ac:dyDescent="0.25">
      <c r="C36" t="s">
        <v>231</v>
      </c>
      <c r="D36" s="48" t="str">
        <f>IF('Existing Systems and Loads'!B30="Y",'Existing Systems and Loads'!E30,"")</f>
        <v/>
      </c>
      <c r="H36" s="73" t="str">
        <f>'Electrification Upgrades'!V38</f>
        <v/>
      </c>
      <c r="I36" s="1"/>
      <c r="J36" s="81"/>
      <c r="L36" s="82" t="str">
        <f t="shared" ref="L36:L38" si="4">H36</f>
        <v/>
      </c>
    </row>
    <row r="37" spans="2:13" x14ac:dyDescent="0.25">
      <c r="C37" t="s">
        <v>232</v>
      </c>
      <c r="D37" s="48" t="str">
        <f>IF('Existing Systems and Loads'!B31="Y",'Existing Systems and Loads'!E31,"")</f>
        <v/>
      </c>
      <c r="H37" s="73" t="str">
        <f>'Electrification Upgrades'!V39</f>
        <v/>
      </c>
      <c r="I37" s="1"/>
      <c r="J37" s="81"/>
      <c r="L37" s="82" t="str">
        <f t="shared" si="4"/>
        <v/>
      </c>
    </row>
    <row r="38" spans="2:13" x14ac:dyDescent="0.25">
      <c r="C38" t="s">
        <v>233</v>
      </c>
      <c r="D38" s="48" t="str">
        <f>IF('Existing Systems and Loads'!B32="Y",'Existing Systems and Loads'!E32,"")</f>
        <v/>
      </c>
      <c r="H38" s="73" t="str">
        <f>'Electrification Upgrades'!V40</f>
        <v/>
      </c>
      <c r="I38" s="1"/>
      <c r="J38" s="81"/>
      <c r="L38" s="82" t="str">
        <f t="shared" si="4"/>
        <v/>
      </c>
    </row>
    <row r="39" spans="2:13" x14ac:dyDescent="0.25">
      <c r="D39" s="16"/>
      <c r="H39" s="93"/>
      <c r="I39" s="1"/>
      <c r="K39" s="82"/>
    </row>
    <row r="40" spans="2:13" x14ac:dyDescent="0.25">
      <c r="B40" s="6" t="s">
        <v>234</v>
      </c>
      <c r="D40" s="16"/>
      <c r="H40" s="92"/>
      <c r="I40" s="1"/>
      <c r="K40" s="82"/>
    </row>
    <row r="41" spans="2:13" x14ac:dyDescent="0.25">
      <c r="C41" t="s">
        <v>235</v>
      </c>
      <c r="D41" s="16"/>
      <c r="H41" s="73">
        <f>'Opt. 1 - Low-Power Appliances'!V6</f>
        <v>4500</v>
      </c>
      <c r="I41" s="1"/>
      <c r="J41" s="81"/>
      <c r="K41" s="82"/>
      <c r="L41" s="82">
        <f t="shared" ref="L41:L42" si="5">H41</f>
        <v>4500</v>
      </c>
    </row>
    <row r="42" spans="2:13" x14ac:dyDescent="0.25">
      <c r="C42" t="s">
        <v>130</v>
      </c>
      <c r="D42" s="16" t="str">
        <f>IF('Existing Systems and Loads'!B52="Y",'Existing Systems and Loads'!E52,"")</f>
        <v/>
      </c>
      <c r="H42" s="73" t="str">
        <f>'Opt. 1 - Low-Power Appliances'!V7</f>
        <v/>
      </c>
      <c r="I42" s="1"/>
      <c r="J42" s="81"/>
      <c r="K42" s="82"/>
      <c r="L42" s="82" t="str">
        <f t="shared" si="5"/>
        <v/>
      </c>
    </row>
    <row r="43" spans="2:13" x14ac:dyDescent="0.25">
      <c r="D43" s="16"/>
      <c r="H43" s="75"/>
    </row>
    <row r="44" spans="2:13" x14ac:dyDescent="0.25">
      <c r="B44" s="104" t="s">
        <v>236</v>
      </c>
      <c r="C44" s="105"/>
      <c r="D44" s="106"/>
      <c r="E44" s="105"/>
      <c r="F44" s="105"/>
      <c r="G44" s="105"/>
      <c r="H44" s="107"/>
      <c r="I44" s="23"/>
    </row>
    <row r="45" spans="2:13" x14ac:dyDescent="0.25">
      <c r="B45" s="21"/>
      <c r="C45" s="20" t="s">
        <v>58</v>
      </c>
      <c r="D45" s="27" t="s">
        <v>237</v>
      </c>
      <c r="F45" s="97">
        <f>'Electrification Upgrades'!V24</f>
        <v>4800</v>
      </c>
      <c r="H45" s="246">
        <f>MAX(F45:F46)+F47+F48</f>
        <v>5300</v>
      </c>
      <c r="L45" s="98"/>
      <c r="M45" s="1"/>
    </row>
    <row r="46" spans="2:13" x14ac:dyDescent="0.25">
      <c r="B46" s="21"/>
      <c r="C46" t="s">
        <v>149</v>
      </c>
      <c r="D46" s="27" t="s">
        <v>237</v>
      </c>
      <c r="F46" s="97">
        <f>IF('Electrification Upgrades'!V25="",0,'Electrification Upgrades'!V25)</f>
        <v>0</v>
      </c>
      <c r="H46" s="247"/>
      <c r="I46" s="23"/>
      <c r="L46" s="98"/>
    </row>
    <row r="47" spans="2:13" x14ac:dyDescent="0.25">
      <c r="B47" s="21"/>
      <c r="C47" s="47" t="s">
        <v>65</v>
      </c>
      <c r="D47" s="27" t="s">
        <v>237</v>
      </c>
      <c r="F47" s="97">
        <f>IF('Electrification Upgrades'!V26="",0,'Electrification Upgrades'!V26)</f>
        <v>500</v>
      </c>
      <c r="H47" s="108"/>
      <c r="I47" s="23"/>
      <c r="L47" s="82"/>
    </row>
    <row r="48" spans="2:13" x14ac:dyDescent="0.25">
      <c r="B48" s="21"/>
      <c r="C48" s="47" t="s">
        <v>238</v>
      </c>
      <c r="D48" s="27" t="s">
        <v>237</v>
      </c>
      <c r="F48" s="97">
        <f>IF('Electrification Upgrades'!V27="",0,'Electrification Upgrades'!V27*0.65)</f>
        <v>0</v>
      </c>
      <c r="H48" s="109"/>
      <c r="I48" s="23"/>
      <c r="L48" s="82"/>
    </row>
    <row r="49" spans="2:14" x14ac:dyDescent="0.25">
      <c r="B49" s="111"/>
      <c r="C49" s="18"/>
      <c r="D49" s="18"/>
      <c r="E49" s="18"/>
      <c r="F49" s="18"/>
      <c r="G49" s="18"/>
      <c r="H49" s="110"/>
      <c r="I49" s="23"/>
      <c r="L49" s="82"/>
    </row>
    <row r="50" spans="2:14" x14ac:dyDescent="0.25">
      <c r="B50" s="6" t="s">
        <v>87</v>
      </c>
      <c r="H50" s="93"/>
      <c r="I50" s="23"/>
      <c r="L50" s="82"/>
    </row>
    <row r="51" spans="2:14" x14ac:dyDescent="0.25">
      <c r="C51" t="s">
        <v>87</v>
      </c>
      <c r="D51" s="27" t="s">
        <v>239</v>
      </c>
      <c r="H51" s="73">
        <f>IF('Opt. 1 - Low-Power Appliances'!V33="",0,'Opt. 1 - Low-Power Appliances'!V33*0.5)</f>
        <v>6000</v>
      </c>
      <c r="L51" s="82"/>
      <c r="N51" s="27" t="s">
        <v>239</v>
      </c>
    </row>
    <row r="52" spans="2:14" x14ac:dyDescent="0.25">
      <c r="H52" s="74"/>
      <c r="L52" s="82"/>
    </row>
    <row r="54" spans="2:14" ht="21" x14ac:dyDescent="0.35">
      <c r="B54" s="30" t="s">
        <v>240</v>
      </c>
      <c r="H54" s="71">
        <f>SUM(H10:H42)</f>
        <v>27380</v>
      </c>
      <c r="K54" s="82">
        <f>SUM(K10:K42)</f>
        <v>13600</v>
      </c>
      <c r="L54" s="82">
        <f>SUM(L10:L44)</f>
        <v>13780</v>
      </c>
    </row>
    <row r="55" spans="2:14" ht="21" x14ac:dyDescent="0.35">
      <c r="B55" s="30"/>
      <c r="H55" s="95"/>
      <c r="K55" s="82"/>
      <c r="L55" s="82"/>
    </row>
    <row r="56" spans="2:14" ht="21" x14ac:dyDescent="0.35">
      <c r="B56" s="30" t="s">
        <v>241</v>
      </c>
      <c r="H56" s="71">
        <f>IF(H54&gt;8000,8000,H54)</f>
        <v>8000</v>
      </c>
      <c r="K56" s="82">
        <f>IF(H54&gt;H56,H56,0)</f>
        <v>8000</v>
      </c>
      <c r="L56" s="82"/>
    </row>
    <row r="57" spans="2:14" ht="21" x14ac:dyDescent="0.35">
      <c r="B57" s="30" t="s">
        <v>242</v>
      </c>
      <c r="H57" s="71">
        <f>(H54-H56)*0.4</f>
        <v>7752</v>
      </c>
      <c r="K57" s="82">
        <f>IF(K54&gt;H56,(K54-K56)*0.4,K54)</f>
        <v>2240</v>
      </c>
      <c r="L57" s="82">
        <f>IF(K54&gt;H56,L54*0.4,(K54-H56+L54)*0.4)</f>
        <v>5512</v>
      </c>
    </row>
    <row r="58" spans="2:14" x14ac:dyDescent="0.25">
      <c r="B58" s="6"/>
      <c r="H58" s="99"/>
      <c r="K58" s="82"/>
      <c r="L58" s="82"/>
    </row>
    <row r="59" spans="2:14" x14ac:dyDescent="0.25">
      <c r="B59" s="6" t="s">
        <v>236</v>
      </c>
      <c r="D59" s="16"/>
      <c r="F59" s="103" t="s">
        <v>243</v>
      </c>
      <c r="H59" s="112">
        <f>H45</f>
        <v>5300</v>
      </c>
      <c r="I59" s="23"/>
      <c r="J59" s="81"/>
      <c r="L59" s="82">
        <f>H59</f>
        <v>5300</v>
      </c>
    </row>
    <row r="60" spans="2:14" x14ac:dyDescent="0.25">
      <c r="C60" s="47"/>
      <c r="H60" s="93"/>
      <c r="I60" s="23"/>
      <c r="L60" s="82"/>
    </row>
    <row r="61" spans="2:14" x14ac:dyDescent="0.25">
      <c r="B61" s="6" t="s">
        <v>87</v>
      </c>
      <c r="F61" s="103" t="s">
        <v>244</v>
      </c>
      <c r="H61" s="73">
        <f>H51*1.25</f>
        <v>7500</v>
      </c>
      <c r="I61" s="23"/>
      <c r="J61" s="81"/>
      <c r="L61" s="82">
        <f>H61</f>
        <v>7500</v>
      </c>
    </row>
    <row r="62" spans="2:14" x14ac:dyDescent="0.25">
      <c r="C62" s="47"/>
      <c r="H62" s="92"/>
      <c r="I62" s="23"/>
      <c r="L62" s="82"/>
    </row>
    <row r="63" spans="2:14" ht="21" x14ac:dyDescent="0.35">
      <c r="B63" s="30" t="s">
        <v>245</v>
      </c>
      <c r="H63" s="71">
        <f>IF(H54&gt;H56,H56+H57+H59+H61,H54+H59+H61)</f>
        <v>28552</v>
      </c>
      <c r="K63" s="82">
        <f>K56+K57</f>
        <v>10240</v>
      </c>
      <c r="L63" s="82">
        <f>L57+L59+L61</f>
        <v>18312</v>
      </c>
    </row>
    <row r="64" spans="2:14" ht="21" x14ac:dyDescent="0.35">
      <c r="B64" s="30"/>
      <c r="H64" s="95"/>
      <c r="K64" s="82"/>
      <c r="L64" s="82"/>
    </row>
    <row r="65" spans="2:12" ht="21" x14ac:dyDescent="0.35">
      <c r="B65" s="30" t="s">
        <v>246</v>
      </c>
      <c r="H65" s="51">
        <f>H63/IF($D$5="240/120 V",240,120)</f>
        <v>118.96666666666667</v>
      </c>
      <c r="K65" s="83">
        <f>K63/IF($D$5="240/120 V",240,120)</f>
        <v>42.666666666666664</v>
      </c>
      <c r="L65" s="83">
        <f>L63/IF($D$5="240/120 V",240,120)</f>
        <v>76.3</v>
      </c>
    </row>
    <row r="66" spans="2:12" ht="6" customHeight="1" x14ac:dyDescent="0.25"/>
    <row r="67" spans="2:12" ht="21" x14ac:dyDescent="0.35">
      <c r="B67" s="30" t="s">
        <v>247</v>
      </c>
      <c r="H67" s="50">
        <f>D6</f>
        <v>100</v>
      </c>
    </row>
  </sheetData>
  <mergeCells count="1">
    <mergeCell ref="H45:H46"/>
  </mergeCells>
  <conditionalFormatting sqref="H65">
    <cfRule type="expression" dxfId="4" priority="1">
      <formula>$H$65&gt;$H$67</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E77CD-2EEC-4376-82A8-9EAA8CD6936F}">
  <dimension ref="A1:P67"/>
  <sheetViews>
    <sheetView topLeftCell="A36" workbookViewId="0">
      <selection activeCell="F54" sqref="F54"/>
    </sheetView>
  </sheetViews>
  <sheetFormatPr defaultRowHeight="15" x14ac:dyDescent="0.25"/>
  <cols>
    <col min="2" max="2" width="16" customWidth="1"/>
    <col min="3" max="3" width="43.85546875" customWidth="1"/>
    <col min="4" max="4" width="20" customWidth="1"/>
    <col min="5" max="5" width="2.5703125" customWidth="1"/>
    <col min="6" max="6" width="12.85546875" customWidth="1"/>
    <col min="7" max="7" width="2.5703125" customWidth="1"/>
    <col min="8" max="8" width="12.85546875" style="3" customWidth="1"/>
    <col min="9" max="9" width="9.28515625" customWidth="1"/>
  </cols>
  <sheetData>
    <row r="1" spans="1:16" x14ac:dyDescent="0.25">
      <c r="A1" s="119" t="s">
        <v>211</v>
      </c>
    </row>
    <row r="2" spans="1:16" ht="26.25" x14ac:dyDescent="0.4">
      <c r="B2" s="29" t="s">
        <v>249</v>
      </c>
    </row>
    <row r="4" spans="1:16" x14ac:dyDescent="0.25">
      <c r="C4" t="s">
        <v>36</v>
      </c>
      <c r="D4" s="14" t="str">
        <f>'Property Information'!D29</f>
        <v>Main Panel</v>
      </c>
      <c r="I4" s="1"/>
    </row>
    <row r="5" spans="1:16" x14ac:dyDescent="0.25">
      <c r="C5" t="s">
        <v>38</v>
      </c>
      <c r="D5" s="14" t="str">
        <f>'Property Information'!D30</f>
        <v>240/120 V</v>
      </c>
      <c r="I5" s="1"/>
    </row>
    <row r="6" spans="1:16" x14ac:dyDescent="0.25">
      <c r="C6" t="s">
        <v>213</v>
      </c>
      <c r="D6" s="14">
        <f>'Property Information'!D31</f>
        <v>100</v>
      </c>
      <c r="I6" s="1"/>
    </row>
    <row r="8" spans="1:16" ht="18.75" x14ac:dyDescent="0.3">
      <c r="B8" s="49" t="s">
        <v>95</v>
      </c>
    </row>
    <row r="9" spans="1:16" ht="45.75" thickBot="1" x14ac:dyDescent="0.3">
      <c r="C9" s="5" t="s">
        <v>214</v>
      </c>
      <c r="D9" s="5" t="s">
        <v>215</v>
      </c>
      <c r="E9" s="5"/>
      <c r="F9" s="5"/>
      <c r="G9" s="5"/>
      <c r="H9" s="24" t="s">
        <v>216</v>
      </c>
      <c r="P9" s="7"/>
    </row>
    <row r="10" spans="1:16" x14ac:dyDescent="0.25">
      <c r="B10" s="6" t="s">
        <v>219</v>
      </c>
      <c r="C10" s="9" t="s">
        <v>220</v>
      </c>
      <c r="H10" s="72">
        <f>'Existing Systems and Loads'!O40</f>
        <v>4500</v>
      </c>
      <c r="J10" s="53"/>
      <c r="K10" s="82">
        <f>H10</f>
        <v>4500</v>
      </c>
      <c r="P10" s="1"/>
    </row>
    <row r="11" spans="1:16" x14ac:dyDescent="0.25">
      <c r="C11" s="9" t="s">
        <v>221</v>
      </c>
      <c r="H11" s="73">
        <f>'Existing Systems and Loads'!O41</f>
        <v>3000</v>
      </c>
      <c r="I11" s="1"/>
      <c r="J11" s="53"/>
      <c r="K11" s="82">
        <f t="shared" ref="K11:K12" si="0">H11</f>
        <v>3000</v>
      </c>
    </row>
    <row r="12" spans="1:16" x14ac:dyDescent="0.25">
      <c r="C12" s="9" t="s">
        <v>105</v>
      </c>
      <c r="D12" s="16"/>
      <c r="H12" s="73">
        <f>'Existing Systems and Loads'!O42</f>
        <v>1500</v>
      </c>
      <c r="I12" s="1"/>
      <c r="J12" s="53"/>
      <c r="K12" s="82">
        <f t="shared" si="0"/>
        <v>1500</v>
      </c>
    </row>
    <row r="13" spans="1:16" x14ac:dyDescent="0.25">
      <c r="C13" s="25"/>
    </row>
    <row r="14" spans="1:16" x14ac:dyDescent="0.25">
      <c r="B14" s="6" t="s">
        <v>222</v>
      </c>
      <c r="C14" s="25"/>
    </row>
    <row r="15" spans="1:16" x14ac:dyDescent="0.25">
      <c r="C15" s="94" t="s">
        <v>167</v>
      </c>
      <c r="H15" s="73">
        <f>'Opt. 1 - Low-Power Appliances'!V13</f>
        <v>480</v>
      </c>
      <c r="J15" s="81"/>
      <c r="L15" s="82">
        <f>H15</f>
        <v>480</v>
      </c>
    </row>
    <row r="16" spans="1:16" x14ac:dyDescent="0.25">
      <c r="C16" t="s">
        <v>223</v>
      </c>
      <c r="H16" s="73">
        <f>'Opt. 1 - Low-Power Appliances'!V14</f>
        <v>4000</v>
      </c>
      <c r="J16" s="81"/>
      <c r="L16" s="82">
        <f>H16</f>
        <v>4000</v>
      </c>
    </row>
    <row r="17" spans="2:12" x14ac:dyDescent="0.25">
      <c r="C17" s="25"/>
    </row>
    <row r="18" spans="2:12" x14ac:dyDescent="0.25">
      <c r="B18" s="6" t="s">
        <v>224</v>
      </c>
      <c r="C18" s="25"/>
    </row>
    <row r="19" spans="2:12" x14ac:dyDescent="0.25">
      <c r="C19" t="s">
        <v>225</v>
      </c>
      <c r="D19" s="16"/>
      <c r="H19" s="73">
        <f>'Opt. 1 - Low-Power Appliances'!V22</f>
        <v>4800</v>
      </c>
      <c r="J19" s="81"/>
      <c r="L19" s="82">
        <f t="shared" ref="L19:L22" si="1">H19</f>
        <v>4800</v>
      </c>
    </row>
    <row r="20" spans="2:12" x14ac:dyDescent="0.25">
      <c r="C20" s="9" t="s">
        <v>226</v>
      </c>
      <c r="H20" s="73" t="str">
        <f>'Opt. 1 - Low-Power Appliances'!V23</f>
        <v/>
      </c>
      <c r="J20" s="81"/>
      <c r="L20" s="82" t="str">
        <f t="shared" si="1"/>
        <v/>
      </c>
    </row>
    <row r="21" spans="2:12" x14ac:dyDescent="0.25">
      <c r="C21" s="9" t="s">
        <v>227</v>
      </c>
      <c r="H21" s="73" t="str">
        <f>'Opt. 1 - Low-Power Appliances'!V24</f>
        <v/>
      </c>
      <c r="J21" s="81"/>
      <c r="L21" s="82" t="str">
        <f t="shared" si="1"/>
        <v/>
      </c>
    </row>
    <row r="22" spans="2:12" x14ac:dyDescent="0.25">
      <c r="C22" s="9" t="s">
        <v>228</v>
      </c>
      <c r="H22" s="73" t="str">
        <f>'Opt. 1 - Low-Power Appliances'!V25</f>
        <v/>
      </c>
      <c r="J22" s="81"/>
      <c r="L22" s="82" t="str">
        <f t="shared" si="1"/>
        <v/>
      </c>
    </row>
    <row r="23" spans="2:12" x14ac:dyDescent="0.25">
      <c r="C23" s="94" t="s">
        <v>109</v>
      </c>
      <c r="H23" s="73">
        <f>'Existing Systems and Loads'!O46</f>
        <v>750</v>
      </c>
      <c r="J23" s="53"/>
      <c r="K23" s="82">
        <f t="shared" ref="K23:K28" si="2">H23</f>
        <v>750</v>
      </c>
    </row>
    <row r="24" spans="2:12" x14ac:dyDescent="0.25">
      <c r="C24" t="s">
        <v>110</v>
      </c>
      <c r="D24" s="16"/>
      <c r="H24" s="73">
        <f>'Existing Systems and Loads'!O47</f>
        <v>600</v>
      </c>
      <c r="I24" s="1"/>
      <c r="J24" s="53"/>
      <c r="K24" s="82">
        <f t="shared" si="2"/>
        <v>600</v>
      </c>
    </row>
    <row r="25" spans="2:12" x14ac:dyDescent="0.25">
      <c r="C25" t="s">
        <v>111</v>
      </c>
      <c r="D25" s="16"/>
      <c r="H25" s="73">
        <f>'Existing Systems and Loads'!O48</f>
        <v>1200</v>
      </c>
      <c r="I25" s="1"/>
      <c r="J25" s="53"/>
      <c r="K25" s="82">
        <f t="shared" si="2"/>
        <v>1200</v>
      </c>
    </row>
    <row r="26" spans="2:12" x14ac:dyDescent="0.25">
      <c r="C26" t="s">
        <v>112</v>
      </c>
      <c r="D26" s="16"/>
      <c r="H26" s="73">
        <f>'Existing Systems and Loads'!O49</f>
        <v>1500</v>
      </c>
      <c r="I26" s="1"/>
      <c r="J26" s="53"/>
      <c r="K26" s="82">
        <f t="shared" si="2"/>
        <v>1500</v>
      </c>
    </row>
    <row r="27" spans="2:12" x14ac:dyDescent="0.25">
      <c r="C27" s="47" t="s">
        <v>113</v>
      </c>
      <c r="D27" s="16"/>
      <c r="H27" s="73">
        <f>'Existing Systems and Loads'!O50</f>
        <v>250</v>
      </c>
      <c r="I27" s="1"/>
      <c r="J27" s="53"/>
      <c r="K27" s="82">
        <f t="shared" si="2"/>
        <v>250</v>
      </c>
    </row>
    <row r="28" spans="2:12" x14ac:dyDescent="0.25">
      <c r="C28" t="s">
        <v>114</v>
      </c>
      <c r="D28" s="16"/>
      <c r="H28" s="73">
        <f>'Existing Systems and Loads'!O51</f>
        <v>300</v>
      </c>
      <c r="I28" s="1"/>
      <c r="J28" s="53"/>
      <c r="K28" s="82">
        <f t="shared" si="2"/>
        <v>300</v>
      </c>
    </row>
    <row r="29" spans="2:12" x14ac:dyDescent="0.25">
      <c r="D29" s="16"/>
      <c r="H29" s="91"/>
      <c r="I29" s="1"/>
      <c r="K29" s="82"/>
    </row>
    <row r="30" spans="2:12" x14ac:dyDescent="0.25">
      <c r="B30" s="6" t="s">
        <v>229</v>
      </c>
      <c r="D30" s="16"/>
      <c r="H30" s="92"/>
      <c r="I30" s="1"/>
      <c r="K30" s="82"/>
    </row>
    <row r="31" spans="2:12" x14ac:dyDescent="0.25">
      <c r="C31" t="s">
        <v>115</v>
      </c>
      <c r="D31" s="48" t="str">
        <f>IF('Existing Systems and Loads'!B52="Y",'Existing Systems and Loads'!E52,"")</f>
        <v/>
      </c>
      <c r="H31" s="73" t="str">
        <f>'Existing Systems and Loads'!O52</f>
        <v/>
      </c>
      <c r="I31" s="1"/>
      <c r="J31" s="53"/>
      <c r="K31" s="82" t="str">
        <f>H31</f>
        <v/>
      </c>
    </row>
    <row r="32" spans="2:12" x14ac:dyDescent="0.25">
      <c r="C32" t="s">
        <v>116</v>
      </c>
      <c r="D32" s="48" t="str">
        <f>IF('Existing Systems and Loads'!B53="Y",'Existing Systems and Loads'!E53,"")</f>
        <v/>
      </c>
      <c r="H32" s="73" t="str">
        <f>'Existing Systems and Loads'!O53</f>
        <v/>
      </c>
      <c r="I32" s="1"/>
      <c r="J32" s="53"/>
      <c r="K32" s="82" t="str">
        <f t="shared" ref="K32:K33" si="3">H32</f>
        <v/>
      </c>
    </row>
    <row r="33" spans="2:13" x14ac:dyDescent="0.25">
      <c r="C33" t="s">
        <v>117</v>
      </c>
      <c r="D33" s="48" t="str">
        <f>IF('Existing Systems and Loads'!B54="Y",'Existing Systems and Loads'!E54,"")</f>
        <v/>
      </c>
      <c r="H33" s="73" t="str">
        <f>'Existing Systems and Loads'!O54</f>
        <v/>
      </c>
      <c r="I33" s="1"/>
      <c r="J33" s="53"/>
      <c r="K33" s="82" t="str">
        <f t="shared" si="3"/>
        <v/>
      </c>
    </row>
    <row r="34" spans="2:13" x14ac:dyDescent="0.25">
      <c r="D34" s="16"/>
      <c r="H34" s="91"/>
      <c r="I34" s="1"/>
      <c r="K34" s="82"/>
    </row>
    <row r="35" spans="2:13" x14ac:dyDescent="0.25">
      <c r="B35" s="6" t="s">
        <v>230</v>
      </c>
      <c r="D35" s="16"/>
      <c r="H35" s="93"/>
      <c r="I35" s="1"/>
      <c r="K35" s="82"/>
    </row>
    <row r="36" spans="2:13" x14ac:dyDescent="0.25">
      <c r="C36" t="s">
        <v>231</v>
      </c>
      <c r="D36" s="48" t="str">
        <f>IF('Existing Systems and Loads'!B30="Y",'Existing Systems and Loads'!E30,"")</f>
        <v/>
      </c>
      <c r="H36" s="73" t="str">
        <f>'Electrification Upgrades'!V38</f>
        <v/>
      </c>
      <c r="I36" s="1"/>
      <c r="J36" s="81"/>
      <c r="L36" s="82" t="str">
        <f t="shared" ref="L36:L38" si="4">H36</f>
        <v/>
      </c>
    </row>
    <row r="37" spans="2:13" x14ac:dyDescent="0.25">
      <c r="C37" t="s">
        <v>232</v>
      </c>
      <c r="D37" s="48" t="str">
        <f>IF('Existing Systems and Loads'!B31="Y",'Existing Systems and Loads'!E31,"")</f>
        <v/>
      </c>
      <c r="H37" s="73" t="str">
        <f>'Electrification Upgrades'!V39</f>
        <v/>
      </c>
      <c r="I37" s="1"/>
      <c r="J37" s="81"/>
      <c r="L37" s="82" t="str">
        <f t="shared" si="4"/>
        <v/>
      </c>
    </row>
    <row r="38" spans="2:13" x14ac:dyDescent="0.25">
      <c r="C38" t="s">
        <v>233</v>
      </c>
      <c r="D38" s="48" t="str">
        <f>IF('Existing Systems and Loads'!B32="Y",'Existing Systems and Loads'!E32,"")</f>
        <v/>
      </c>
      <c r="H38" s="73" t="str">
        <f>'Electrification Upgrades'!V40</f>
        <v/>
      </c>
      <c r="I38" s="1"/>
      <c r="J38" s="81"/>
      <c r="L38" s="82" t="str">
        <f t="shared" si="4"/>
        <v/>
      </c>
    </row>
    <row r="39" spans="2:13" x14ac:dyDescent="0.25">
      <c r="D39" s="16"/>
      <c r="H39" s="93"/>
      <c r="I39" s="1"/>
      <c r="K39" s="82"/>
    </row>
    <row r="40" spans="2:13" x14ac:dyDescent="0.25">
      <c r="B40" s="6" t="s">
        <v>234</v>
      </c>
      <c r="D40" s="16"/>
      <c r="H40" s="92"/>
      <c r="I40" s="1"/>
      <c r="K40" s="82"/>
    </row>
    <row r="41" spans="2:13" x14ac:dyDescent="0.25">
      <c r="C41" t="s">
        <v>235</v>
      </c>
      <c r="D41" s="16"/>
      <c r="H41" s="73">
        <f>'Opt. 1 - Low-Power Appliances'!V6</f>
        <v>4500</v>
      </c>
      <c r="I41" s="1"/>
      <c r="J41" s="81"/>
      <c r="K41" s="82"/>
      <c r="L41" s="82">
        <f t="shared" ref="L41:L42" si="5">H41</f>
        <v>4500</v>
      </c>
    </row>
    <row r="42" spans="2:13" x14ac:dyDescent="0.25">
      <c r="C42" t="s">
        <v>130</v>
      </c>
      <c r="D42" s="16" t="str">
        <f>IF('Existing Systems and Loads'!B52="Y",'Existing Systems and Loads'!E52,"")</f>
        <v/>
      </c>
      <c r="H42" s="73" t="str">
        <f>'Opt. 1 - Low-Power Appliances'!V7</f>
        <v/>
      </c>
      <c r="I42" s="1"/>
      <c r="J42" s="81"/>
      <c r="K42" s="82"/>
      <c r="L42" s="82" t="str">
        <f t="shared" si="5"/>
        <v/>
      </c>
    </row>
    <row r="43" spans="2:13" x14ac:dyDescent="0.25">
      <c r="D43" s="16"/>
      <c r="H43" s="75"/>
    </row>
    <row r="44" spans="2:13" x14ac:dyDescent="0.25">
      <c r="B44" s="104" t="s">
        <v>236</v>
      </c>
      <c r="C44" s="105"/>
      <c r="D44" s="106"/>
      <c r="E44" s="105"/>
      <c r="F44" s="105"/>
      <c r="G44" s="105"/>
      <c r="H44" s="107"/>
      <c r="I44" s="23"/>
    </row>
    <row r="45" spans="2:13" x14ac:dyDescent="0.25">
      <c r="B45" s="21"/>
      <c r="C45" s="20" t="s">
        <v>58</v>
      </c>
      <c r="D45" s="27" t="s">
        <v>237</v>
      </c>
      <c r="F45" s="97">
        <f>'Opt. 2 - Right-Size HVAC'!V8</f>
        <v>4800</v>
      </c>
      <c r="H45" s="246">
        <f>MAX(F45:F46)+F47+F48</f>
        <v>5300</v>
      </c>
      <c r="L45" s="98"/>
      <c r="M45" s="1"/>
    </row>
    <row r="46" spans="2:13" x14ac:dyDescent="0.25">
      <c r="B46" s="21"/>
      <c r="C46" t="s">
        <v>149</v>
      </c>
      <c r="D46" s="27" t="s">
        <v>237</v>
      </c>
      <c r="F46" s="97">
        <f>IF('Opt. 2 - Right-Size HVAC'!V9="",0,'Opt. 2 - Right-Size HVAC'!V9)</f>
        <v>0</v>
      </c>
      <c r="H46" s="247"/>
      <c r="I46" s="23"/>
      <c r="L46" s="98"/>
    </row>
    <row r="47" spans="2:13" x14ac:dyDescent="0.25">
      <c r="B47" s="21"/>
      <c r="C47" s="47" t="s">
        <v>65</v>
      </c>
      <c r="D47" s="27" t="s">
        <v>237</v>
      </c>
      <c r="F47" s="97">
        <f>IF('Opt. 2 - Right-Size HVAC'!V10="",0,'Opt. 2 - Right-Size HVAC'!V10)</f>
        <v>500</v>
      </c>
      <c r="H47" s="108"/>
      <c r="I47" s="23"/>
      <c r="L47" s="82"/>
    </row>
    <row r="48" spans="2:13" x14ac:dyDescent="0.25">
      <c r="B48" s="21"/>
      <c r="C48" s="47" t="s">
        <v>238</v>
      </c>
      <c r="D48" s="27" t="s">
        <v>237</v>
      </c>
      <c r="F48" s="97">
        <f>IF('Opt. 2 - Right-Size HVAC'!V17="",0,'Opt. 2 - Right-Size HVAC'!V17*0.65)</f>
        <v>0</v>
      </c>
      <c r="H48" s="109"/>
      <c r="I48" s="23"/>
      <c r="L48" s="82"/>
    </row>
    <row r="49" spans="2:14" x14ac:dyDescent="0.25">
      <c r="B49" s="111"/>
      <c r="C49" s="18"/>
      <c r="D49" s="18"/>
      <c r="E49" s="18"/>
      <c r="F49" s="18"/>
      <c r="G49" s="18"/>
      <c r="H49" s="110"/>
      <c r="I49" s="23"/>
      <c r="L49" s="82"/>
    </row>
    <row r="50" spans="2:14" x14ac:dyDescent="0.25">
      <c r="B50" s="6" t="s">
        <v>87</v>
      </c>
      <c r="H50" s="93"/>
      <c r="I50" s="23"/>
      <c r="L50" s="82"/>
    </row>
    <row r="51" spans="2:14" x14ac:dyDescent="0.25">
      <c r="C51" t="s">
        <v>87</v>
      </c>
      <c r="D51" s="27" t="s">
        <v>239</v>
      </c>
      <c r="H51" s="73">
        <f>'Opt. 1 - Low-Power Appliances'!V33*0.5</f>
        <v>6000</v>
      </c>
      <c r="L51" s="82"/>
      <c r="N51" s="27" t="s">
        <v>239</v>
      </c>
    </row>
    <row r="52" spans="2:14" x14ac:dyDescent="0.25">
      <c r="H52" s="74"/>
      <c r="L52" s="82"/>
    </row>
    <row r="54" spans="2:14" ht="21" x14ac:dyDescent="0.35">
      <c r="B54" s="30" t="s">
        <v>240</v>
      </c>
      <c r="H54" s="71">
        <f>SUM(H10:H42)</f>
        <v>27380</v>
      </c>
      <c r="K54" s="82">
        <f>SUM(K10:K42)</f>
        <v>13600</v>
      </c>
      <c r="L54" s="82">
        <f>SUM(L10:L44)</f>
        <v>13780</v>
      </c>
    </row>
    <row r="55" spans="2:14" ht="21" x14ac:dyDescent="0.35">
      <c r="B55" s="30"/>
      <c r="H55" s="95"/>
      <c r="K55" s="82"/>
      <c r="L55" s="82"/>
    </row>
    <row r="56" spans="2:14" ht="21" x14ac:dyDescent="0.35">
      <c r="B56" s="30" t="s">
        <v>241</v>
      </c>
      <c r="H56" s="71">
        <f>IF(H54&gt;8000,8000,H54)</f>
        <v>8000</v>
      </c>
      <c r="K56" s="82">
        <f>IF(H54&gt;H56,H56,0)</f>
        <v>8000</v>
      </c>
      <c r="L56" s="82"/>
    </row>
    <row r="57" spans="2:14" ht="21" x14ac:dyDescent="0.35">
      <c r="B57" s="30" t="s">
        <v>242</v>
      </c>
      <c r="H57" s="71">
        <f>(H54-H56)*0.4</f>
        <v>7752</v>
      </c>
      <c r="K57" s="82">
        <f>IF(K54&gt;H56,(K54-K56)*0.4,K54)</f>
        <v>2240</v>
      </c>
      <c r="L57" s="82">
        <f>IF(K54&gt;H56,L54*0.4,(K54-H56+L54)*0.4)</f>
        <v>5512</v>
      </c>
    </row>
    <row r="58" spans="2:14" x14ac:dyDescent="0.25">
      <c r="B58" s="6"/>
      <c r="H58" s="99"/>
      <c r="K58" s="82"/>
      <c r="L58" s="82"/>
    </row>
    <row r="59" spans="2:14" x14ac:dyDescent="0.25">
      <c r="B59" s="6" t="s">
        <v>236</v>
      </c>
      <c r="D59" s="16"/>
      <c r="F59" s="103" t="s">
        <v>243</v>
      </c>
      <c r="H59" s="112">
        <f>H45</f>
        <v>5300</v>
      </c>
      <c r="I59" s="23"/>
      <c r="J59" s="81"/>
      <c r="L59" s="82">
        <f>H59</f>
        <v>5300</v>
      </c>
    </row>
    <row r="60" spans="2:14" x14ac:dyDescent="0.25">
      <c r="C60" s="47"/>
      <c r="H60" s="93"/>
      <c r="I60" s="23"/>
      <c r="L60" s="82"/>
    </row>
    <row r="61" spans="2:14" x14ac:dyDescent="0.25">
      <c r="B61" s="6" t="s">
        <v>87</v>
      </c>
      <c r="F61" s="103" t="s">
        <v>244</v>
      </c>
      <c r="H61" s="73">
        <f>H51*1.25</f>
        <v>7500</v>
      </c>
      <c r="I61" s="23"/>
      <c r="J61" s="81"/>
      <c r="L61" s="82">
        <f>H61</f>
        <v>7500</v>
      </c>
    </row>
    <row r="62" spans="2:14" x14ac:dyDescent="0.25">
      <c r="C62" s="47"/>
      <c r="H62" s="92"/>
      <c r="I62" s="23"/>
      <c r="L62" s="82"/>
    </row>
    <row r="63" spans="2:14" ht="21" x14ac:dyDescent="0.35">
      <c r="B63" s="30" t="s">
        <v>245</v>
      </c>
      <c r="H63" s="71">
        <f>IF(H54&gt;H56,H56+H57+H59+H61,H54+H59+H61)</f>
        <v>28552</v>
      </c>
      <c r="K63" s="82">
        <f>K56+K57</f>
        <v>10240</v>
      </c>
      <c r="L63" s="82">
        <f>L57+L59+L61</f>
        <v>18312</v>
      </c>
    </row>
    <row r="64" spans="2:14" ht="21" x14ac:dyDescent="0.35">
      <c r="B64" s="30"/>
      <c r="H64" s="95"/>
      <c r="K64" s="82"/>
      <c r="L64" s="82"/>
    </row>
    <row r="65" spans="2:12" ht="21" x14ac:dyDescent="0.35">
      <c r="B65" s="30" t="s">
        <v>246</v>
      </c>
      <c r="H65" s="51">
        <f>H63/IF($D$5="240/120 V",240,120)</f>
        <v>118.96666666666667</v>
      </c>
      <c r="K65" s="83">
        <f>K63/IF($D$5="240/120 V",240,120)</f>
        <v>42.666666666666664</v>
      </c>
      <c r="L65" s="83">
        <f>L63/IF($D$5="240/120 V",240,120)</f>
        <v>76.3</v>
      </c>
    </row>
    <row r="66" spans="2:12" ht="6" customHeight="1" x14ac:dyDescent="0.25"/>
    <row r="67" spans="2:12" ht="21" x14ac:dyDescent="0.35">
      <c r="B67" s="30" t="s">
        <v>247</v>
      </c>
      <c r="H67" s="50">
        <f>D6</f>
        <v>100</v>
      </c>
    </row>
  </sheetData>
  <mergeCells count="1">
    <mergeCell ref="H45:H46"/>
  </mergeCells>
  <conditionalFormatting sqref="H65">
    <cfRule type="expression" dxfId="3" priority="1">
      <formula>$H$65&gt;$H$67</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FB3EC-8844-48A9-9290-77994C482DE5}">
  <dimension ref="A1:P67"/>
  <sheetViews>
    <sheetView workbookViewId="0">
      <selection activeCell="F19" sqref="F19"/>
    </sheetView>
  </sheetViews>
  <sheetFormatPr defaultRowHeight="15" x14ac:dyDescent="0.25"/>
  <cols>
    <col min="2" max="2" width="16" customWidth="1"/>
    <col min="3" max="3" width="43.85546875" customWidth="1"/>
    <col min="4" max="4" width="20" customWidth="1"/>
    <col min="5" max="5" width="2.5703125" customWidth="1"/>
    <col min="6" max="6" width="12.85546875" customWidth="1"/>
    <col min="7" max="7" width="2.5703125" customWidth="1"/>
    <col min="8" max="8" width="12.85546875" style="3" customWidth="1"/>
    <col min="9" max="9" width="9.28515625" customWidth="1"/>
  </cols>
  <sheetData>
    <row r="1" spans="1:16" x14ac:dyDescent="0.25">
      <c r="A1" s="119" t="s">
        <v>211</v>
      </c>
    </row>
    <row r="2" spans="1:16" ht="26.25" x14ac:dyDescent="0.4">
      <c r="B2" s="29" t="s">
        <v>250</v>
      </c>
    </row>
    <row r="4" spans="1:16" x14ac:dyDescent="0.25">
      <c r="C4" t="s">
        <v>36</v>
      </c>
      <c r="D4" s="14" t="str">
        <f>'Property Information'!D29</f>
        <v>Main Panel</v>
      </c>
      <c r="I4" s="1"/>
    </row>
    <row r="5" spans="1:16" x14ac:dyDescent="0.25">
      <c r="C5" t="s">
        <v>38</v>
      </c>
      <c r="D5" s="14" t="str">
        <f>'Property Information'!D30</f>
        <v>240/120 V</v>
      </c>
      <c r="I5" s="1"/>
    </row>
    <row r="6" spans="1:16" x14ac:dyDescent="0.25">
      <c r="C6" t="s">
        <v>213</v>
      </c>
      <c r="D6" s="14">
        <f>'Property Information'!D31</f>
        <v>100</v>
      </c>
      <c r="I6" s="1"/>
    </row>
    <row r="8" spans="1:16" ht="18.75" x14ac:dyDescent="0.3">
      <c r="B8" s="49" t="s">
        <v>95</v>
      </c>
    </row>
    <row r="9" spans="1:16" ht="45.75" thickBot="1" x14ac:dyDescent="0.3">
      <c r="C9" s="5" t="s">
        <v>214</v>
      </c>
      <c r="D9" s="5" t="s">
        <v>215</v>
      </c>
      <c r="E9" s="5"/>
      <c r="F9" s="5"/>
      <c r="G9" s="5"/>
      <c r="H9" s="24" t="s">
        <v>216</v>
      </c>
      <c r="P9" s="7"/>
    </row>
    <row r="10" spans="1:16" x14ac:dyDescent="0.25">
      <c r="B10" s="6" t="s">
        <v>219</v>
      </c>
      <c r="C10" s="9" t="s">
        <v>220</v>
      </c>
      <c r="H10" s="72">
        <f>'Existing Systems and Loads'!O40</f>
        <v>4500</v>
      </c>
      <c r="J10" s="53"/>
      <c r="K10" s="82">
        <f>H10</f>
        <v>4500</v>
      </c>
      <c r="N10" s="82"/>
      <c r="P10" s="1"/>
    </row>
    <row r="11" spans="1:16" x14ac:dyDescent="0.25">
      <c r="C11" s="9" t="s">
        <v>221</v>
      </c>
      <c r="H11" s="73">
        <f>'Existing Systems and Loads'!O41</f>
        <v>3000</v>
      </c>
      <c r="I11" s="1"/>
      <c r="J11" s="53"/>
      <c r="K11" s="82">
        <f t="shared" ref="K11:K12" si="0">H11</f>
        <v>3000</v>
      </c>
      <c r="N11" s="82"/>
    </row>
    <row r="12" spans="1:16" x14ac:dyDescent="0.25">
      <c r="C12" s="9" t="s">
        <v>105</v>
      </c>
      <c r="D12" s="16"/>
      <c r="H12" s="73">
        <f>'Existing Systems and Loads'!O42</f>
        <v>1500</v>
      </c>
      <c r="I12" s="1"/>
      <c r="J12" s="53"/>
      <c r="K12" s="82">
        <f t="shared" si="0"/>
        <v>1500</v>
      </c>
      <c r="N12" s="82"/>
    </row>
    <row r="13" spans="1:16" x14ac:dyDescent="0.25">
      <c r="C13" s="25"/>
      <c r="N13" s="82"/>
    </row>
    <row r="14" spans="1:16" x14ac:dyDescent="0.25">
      <c r="B14" s="6" t="s">
        <v>222</v>
      </c>
      <c r="C14" s="25"/>
      <c r="N14" s="82"/>
    </row>
    <row r="15" spans="1:16" x14ac:dyDescent="0.25">
      <c r="C15" s="94" t="s">
        <v>167</v>
      </c>
      <c r="H15" s="73">
        <f>'Opt. 1 - Low-Power Appliances'!V13</f>
        <v>480</v>
      </c>
      <c r="J15" s="81"/>
      <c r="L15" s="82">
        <f>H15</f>
        <v>480</v>
      </c>
      <c r="N15" s="82"/>
    </row>
    <row r="16" spans="1:16" x14ac:dyDescent="0.25">
      <c r="C16" t="s">
        <v>223</v>
      </c>
      <c r="D16" s="1" t="s">
        <v>251</v>
      </c>
      <c r="H16" s="73" t="str">
        <f>'Opt. 3 - Load Mgmt'!R20</f>
        <v/>
      </c>
      <c r="J16" s="81"/>
      <c r="L16" s="82" t="str">
        <f>H16</f>
        <v/>
      </c>
      <c r="N16" s="82"/>
    </row>
    <row r="17" spans="2:14" x14ac:dyDescent="0.25">
      <c r="C17" s="25"/>
      <c r="N17" s="82"/>
    </row>
    <row r="18" spans="2:14" x14ac:dyDescent="0.25">
      <c r="B18" s="6" t="s">
        <v>224</v>
      </c>
      <c r="C18" s="25"/>
      <c r="N18" s="82"/>
    </row>
    <row r="19" spans="2:14" x14ac:dyDescent="0.25">
      <c r="C19" t="s">
        <v>225</v>
      </c>
      <c r="D19" s="16"/>
      <c r="H19" s="73">
        <f>'Opt. 1 - Low-Power Appliances'!V22</f>
        <v>4800</v>
      </c>
      <c r="J19" s="81"/>
      <c r="L19" s="82">
        <f t="shared" ref="L19:L22" si="1">H19</f>
        <v>4800</v>
      </c>
      <c r="N19" s="82"/>
    </row>
    <row r="20" spans="2:14" x14ac:dyDescent="0.25">
      <c r="C20" s="9" t="s">
        <v>226</v>
      </c>
      <c r="H20" s="73" t="str">
        <f>'Opt. 1 - Low-Power Appliances'!V23</f>
        <v/>
      </c>
      <c r="J20" s="81"/>
      <c r="L20" s="82" t="str">
        <f t="shared" si="1"/>
        <v/>
      </c>
      <c r="N20" s="82"/>
    </row>
    <row r="21" spans="2:14" x14ac:dyDescent="0.25">
      <c r="C21" s="9" t="s">
        <v>227</v>
      </c>
      <c r="H21" s="73" t="str">
        <f>'Opt. 1 - Low-Power Appliances'!V24</f>
        <v/>
      </c>
      <c r="J21" s="81"/>
      <c r="L21" s="82" t="str">
        <f t="shared" si="1"/>
        <v/>
      </c>
      <c r="N21" s="82"/>
    </row>
    <row r="22" spans="2:14" x14ac:dyDescent="0.25">
      <c r="C22" s="9" t="s">
        <v>228</v>
      </c>
      <c r="H22" s="73" t="str">
        <f>'Opt. 1 - Low-Power Appliances'!V25</f>
        <v/>
      </c>
      <c r="J22" s="81"/>
      <c r="L22" s="82" t="str">
        <f t="shared" si="1"/>
        <v/>
      </c>
      <c r="N22" s="82"/>
    </row>
    <row r="23" spans="2:14" x14ac:dyDescent="0.25">
      <c r="C23" s="94" t="s">
        <v>109</v>
      </c>
      <c r="H23" s="73">
        <f>'Existing Systems and Loads'!O46</f>
        <v>750</v>
      </c>
      <c r="J23" s="53"/>
      <c r="K23" s="82">
        <f t="shared" ref="K23:K28" si="2">H23</f>
        <v>750</v>
      </c>
      <c r="N23" s="82"/>
    </row>
    <row r="24" spans="2:14" x14ac:dyDescent="0.25">
      <c r="C24" t="s">
        <v>110</v>
      </c>
      <c r="D24" s="16"/>
      <c r="H24" s="73">
        <f>'Existing Systems and Loads'!O47</f>
        <v>600</v>
      </c>
      <c r="I24" s="1"/>
      <c r="J24" s="53"/>
      <c r="K24" s="82">
        <f t="shared" si="2"/>
        <v>600</v>
      </c>
      <c r="N24" s="82"/>
    </row>
    <row r="25" spans="2:14" x14ac:dyDescent="0.25">
      <c r="C25" t="s">
        <v>111</v>
      </c>
      <c r="D25" s="16"/>
      <c r="H25" s="73">
        <f>'Existing Systems and Loads'!O48</f>
        <v>1200</v>
      </c>
      <c r="I25" s="1"/>
      <c r="J25" s="53"/>
      <c r="K25" s="82">
        <f t="shared" si="2"/>
        <v>1200</v>
      </c>
      <c r="N25" s="82"/>
    </row>
    <row r="26" spans="2:14" x14ac:dyDescent="0.25">
      <c r="C26" t="s">
        <v>112</v>
      </c>
      <c r="D26" s="16"/>
      <c r="H26" s="73">
        <f>'Existing Systems and Loads'!O49</f>
        <v>1500</v>
      </c>
      <c r="I26" s="1"/>
      <c r="J26" s="53"/>
      <c r="K26" s="82">
        <f t="shared" si="2"/>
        <v>1500</v>
      </c>
      <c r="N26" s="82"/>
    </row>
    <row r="27" spans="2:14" x14ac:dyDescent="0.25">
      <c r="C27" s="47" t="s">
        <v>113</v>
      </c>
      <c r="D27" s="16"/>
      <c r="H27" s="73">
        <f>'Existing Systems and Loads'!O50</f>
        <v>250</v>
      </c>
      <c r="I27" s="1"/>
      <c r="J27" s="53"/>
      <c r="K27" s="82">
        <f t="shared" si="2"/>
        <v>250</v>
      </c>
      <c r="N27" s="82"/>
    </row>
    <row r="28" spans="2:14" x14ac:dyDescent="0.25">
      <c r="C28" t="s">
        <v>114</v>
      </c>
      <c r="D28" s="16"/>
      <c r="H28" s="73">
        <f>'Existing Systems and Loads'!O51</f>
        <v>300</v>
      </c>
      <c r="I28" s="1"/>
      <c r="J28" s="53"/>
      <c r="K28" s="82">
        <f t="shared" si="2"/>
        <v>300</v>
      </c>
      <c r="N28" s="82"/>
    </row>
    <row r="29" spans="2:14" x14ac:dyDescent="0.25">
      <c r="D29" s="16"/>
      <c r="H29" s="91"/>
      <c r="I29" s="1"/>
      <c r="K29" s="82"/>
      <c r="N29" s="82"/>
    </row>
    <row r="30" spans="2:14" x14ac:dyDescent="0.25">
      <c r="B30" s="6" t="s">
        <v>229</v>
      </c>
      <c r="D30" s="16"/>
      <c r="H30" s="92"/>
      <c r="I30" s="1"/>
      <c r="K30" s="82"/>
      <c r="N30" s="82"/>
    </row>
    <row r="31" spans="2:14" x14ac:dyDescent="0.25">
      <c r="C31" t="s">
        <v>115</v>
      </c>
      <c r="D31" s="48" t="str">
        <f>IF('Existing Systems and Loads'!B52="Y",'Existing Systems and Loads'!E52,"")</f>
        <v/>
      </c>
      <c r="H31" s="73" t="str">
        <f>'Existing Systems and Loads'!O52</f>
        <v/>
      </c>
      <c r="I31" s="1"/>
      <c r="J31" s="53"/>
      <c r="K31" s="82" t="str">
        <f>H31</f>
        <v/>
      </c>
      <c r="N31" s="82"/>
    </row>
    <row r="32" spans="2:14" x14ac:dyDescent="0.25">
      <c r="C32" t="s">
        <v>116</v>
      </c>
      <c r="D32" s="48" t="str">
        <f>IF('Existing Systems and Loads'!B53="Y",'Existing Systems and Loads'!E53,"")</f>
        <v/>
      </c>
      <c r="H32" s="73" t="str">
        <f>'Existing Systems and Loads'!O53</f>
        <v/>
      </c>
      <c r="I32" s="1"/>
      <c r="J32" s="53"/>
      <c r="K32" s="82" t="str">
        <f t="shared" ref="K32:K33" si="3">H32</f>
        <v/>
      </c>
      <c r="N32" s="82"/>
    </row>
    <row r="33" spans="2:14" x14ac:dyDescent="0.25">
      <c r="C33" t="s">
        <v>117</v>
      </c>
      <c r="D33" s="48" t="str">
        <f>IF('Existing Systems and Loads'!B54="Y",'Existing Systems and Loads'!E54,"")</f>
        <v/>
      </c>
      <c r="H33" s="73" t="str">
        <f>'Existing Systems and Loads'!O54</f>
        <v/>
      </c>
      <c r="I33" s="1"/>
      <c r="J33" s="53"/>
      <c r="K33" s="82" t="str">
        <f t="shared" si="3"/>
        <v/>
      </c>
      <c r="N33" s="82"/>
    </row>
    <row r="34" spans="2:14" x14ac:dyDescent="0.25">
      <c r="D34" s="16"/>
      <c r="H34" s="91"/>
      <c r="I34" s="1"/>
      <c r="K34" s="82"/>
      <c r="N34" s="82"/>
    </row>
    <row r="35" spans="2:14" x14ac:dyDescent="0.25">
      <c r="B35" s="6" t="s">
        <v>230</v>
      </c>
      <c r="D35" s="16"/>
      <c r="H35" s="93"/>
      <c r="I35" s="1"/>
      <c r="K35" s="82"/>
      <c r="N35" s="82"/>
    </row>
    <row r="36" spans="2:14" x14ac:dyDescent="0.25">
      <c r="C36" t="s">
        <v>231</v>
      </c>
      <c r="D36" s="48" t="str">
        <f>IF('Existing Systems and Loads'!B30="Y",'Existing Systems and Loads'!E30,"")</f>
        <v/>
      </c>
      <c r="H36" s="73" t="str">
        <f>'Electrification Upgrades'!V38</f>
        <v/>
      </c>
      <c r="I36" s="1"/>
      <c r="J36" s="81"/>
      <c r="L36" s="82" t="str">
        <f t="shared" ref="L36:L38" si="4">H36</f>
        <v/>
      </c>
      <c r="N36" s="82"/>
    </row>
    <row r="37" spans="2:14" x14ac:dyDescent="0.25">
      <c r="C37" t="s">
        <v>232</v>
      </c>
      <c r="D37" s="48" t="str">
        <f>IF('Existing Systems and Loads'!B31="Y",'Existing Systems and Loads'!E31,"")</f>
        <v/>
      </c>
      <c r="H37" s="73" t="str">
        <f>'Electrification Upgrades'!V39</f>
        <v/>
      </c>
      <c r="I37" s="1"/>
      <c r="J37" s="81"/>
      <c r="L37" s="82" t="str">
        <f t="shared" si="4"/>
        <v/>
      </c>
      <c r="N37" s="82"/>
    </row>
    <row r="38" spans="2:14" x14ac:dyDescent="0.25">
      <c r="C38" t="s">
        <v>233</v>
      </c>
      <c r="D38" s="48" t="str">
        <f>IF('Existing Systems and Loads'!B32="Y",'Existing Systems and Loads'!E32,"")</f>
        <v/>
      </c>
      <c r="H38" s="73" t="str">
        <f>'Electrification Upgrades'!V40</f>
        <v/>
      </c>
      <c r="I38" s="1"/>
      <c r="J38" s="81"/>
      <c r="L38" s="82" t="str">
        <f t="shared" si="4"/>
        <v/>
      </c>
      <c r="N38" s="82"/>
    </row>
    <row r="39" spans="2:14" x14ac:dyDescent="0.25">
      <c r="D39" s="16"/>
      <c r="H39" s="93"/>
      <c r="I39" s="1"/>
      <c r="K39" s="82"/>
      <c r="N39" s="82"/>
    </row>
    <row r="40" spans="2:14" x14ac:dyDescent="0.25">
      <c r="B40" s="6" t="s">
        <v>234</v>
      </c>
      <c r="D40" s="16"/>
      <c r="H40" s="92"/>
      <c r="I40" s="1"/>
      <c r="K40" s="82"/>
      <c r="N40" s="82"/>
    </row>
    <row r="41" spans="2:14" x14ac:dyDescent="0.25">
      <c r="C41" t="s">
        <v>235</v>
      </c>
      <c r="D41" s="16"/>
      <c r="H41" s="73">
        <f>'Opt. 1 - Low-Power Appliances'!V6</f>
        <v>4500</v>
      </c>
      <c r="I41" s="1"/>
      <c r="J41" s="81"/>
      <c r="K41" s="82"/>
      <c r="L41" s="82">
        <f t="shared" ref="L41:L42" si="5">H41</f>
        <v>4500</v>
      </c>
      <c r="N41" s="82"/>
    </row>
    <row r="42" spans="2:14" x14ac:dyDescent="0.25">
      <c r="C42" t="s">
        <v>130</v>
      </c>
      <c r="D42" s="16" t="str">
        <f>IF('Existing Systems and Loads'!B52="Y",'Existing Systems and Loads'!E52,"")</f>
        <v/>
      </c>
      <c r="H42" s="73" t="str">
        <f>'Opt. 1 - Low-Power Appliances'!V7</f>
        <v/>
      </c>
      <c r="I42" s="1"/>
      <c r="J42" s="81"/>
      <c r="K42" s="82"/>
      <c r="L42" s="82" t="str">
        <f t="shared" si="5"/>
        <v/>
      </c>
      <c r="N42" s="82"/>
    </row>
    <row r="43" spans="2:14" x14ac:dyDescent="0.25">
      <c r="D43" s="16"/>
      <c r="H43" s="75"/>
      <c r="N43" s="82"/>
    </row>
    <row r="44" spans="2:14" x14ac:dyDescent="0.25">
      <c r="B44" s="104" t="s">
        <v>236</v>
      </c>
      <c r="C44" s="105"/>
      <c r="D44" s="106"/>
      <c r="E44" s="105"/>
      <c r="F44" s="105"/>
      <c r="G44" s="105"/>
      <c r="H44" s="107"/>
      <c r="I44" s="23"/>
      <c r="N44" s="82"/>
    </row>
    <row r="45" spans="2:14" x14ac:dyDescent="0.25">
      <c r="B45" s="21"/>
      <c r="C45" s="20" t="s">
        <v>58</v>
      </c>
      <c r="D45" s="27" t="s">
        <v>237</v>
      </c>
      <c r="F45" s="97">
        <f>'Panel Load - Opt2'!F45</f>
        <v>4800</v>
      </c>
      <c r="H45" s="246">
        <f>MAX(F45:F46)+F47+F48</f>
        <v>5300</v>
      </c>
      <c r="L45" s="98"/>
      <c r="M45" s="1"/>
      <c r="N45" s="82"/>
    </row>
    <row r="46" spans="2:14" x14ac:dyDescent="0.25">
      <c r="B46" s="21"/>
      <c r="C46" t="s">
        <v>149</v>
      </c>
      <c r="D46" s="27" t="s">
        <v>237</v>
      </c>
      <c r="F46" s="97">
        <f>IF('Panel Load - Opt2'!F46="",0,'Panel Load - Opt2'!F46)</f>
        <v>0</v>
      </c>
      <c r="H46" s="247"/>
      <c r="I46" s="23"/>
      <c r="L46" s="98"/>
      <c r="N46" s="82"/>
    </row>
    <row r="47" spans="2:14" x14ac:dyDescent="0.25">
      <c r="B47" s="21"/>
      <c r="C47" s="47" t="s">
        <v>65</v>
      </c>
      <c r="D47" s="27" t="s">
        <v>237</v>
      </c>
      <c r="F47" s="97">
        <f>IF('Panel Load - Opt2'!F47="",0,'Panel Load - Opt2'!F47)</f>
        <v>500</v>
      </c>
      <c r="H47" s="108"/>
      <c r="I47" s="23"/>
      <c r="L47" s="82"/>
      <c r="N47" s="82"/>
    </row>
    <row r="48" spans="2:14" x14ac:dyDescent="0.25">
      <c r="B48" s="21"/>
      <c r="C48" s="47" t="s">
        <v>238</v>
      </c>
      <c r="D48" s="27" t="s">
        <v>237</v>
      </c>
      <c r="F48" s="97">
        <f>'Panel Load - Opt2'!F48</f>
        <v>0</v>
      </c>
      <c r="H48" s="109"/>
      <c r="I48" s="23"/>
      <c r="L48" s="82"/>
      <c r="N48" s="82"/>
    </row>
    <row r="49" spans="2:15" x14ac:dyDescent="0.25">
      <c r="B49" s="111"/>
      <c r="C49" s="18"/>
      <c r="D49" s="18"/>
      <c r="E49" s="18"/>
      <c r="F49" s="18"/>
      <c r="G49" s="18"/>
      <c r="H49" s="110"/>
      <c r="I49" s="23"/>
      <c r="L49" s="82"/>
      <c r="N49" s="82"/>
    </row>
    <row r="50" spans="2:15" x14ac:dyDescent="0.25">
      <c r="B50" s="6" t="s">
        <v>87</v>
      </c>
      <c r="H50" s="93"/>
      <c r="I50" s="23"/>
      <c r="L50" s="82"/>
      <c r="N50" s="82"/>
    </row>
    <row r="51" spans="2:15" x14ac:dyDescent="0.25">
      <c r="C51" t="s">
        <v>87</v>
      </c>
      <c r="D51" s="27" t="s">
        <v>239</v>
      </c>
      <c r="H51" s="73">
        <f>'Opt. 3 - Load Mgmt'!R18*0.5</f>
        <v>6000</v>
      </c>
      <c r="L51" s="82"/>
      <c r="N51" s="27" t="s">
        <v>239</v>
      </c>
    </row>
    <row r="52" spans="2:15" x14ac:dyDescent="0.25">
      <c r="H52" s="74"/>
      <c r="L52" s="82"/>
      <c r="N52" s="82"/>
    </row>
    <row r="53" spans="2:15" x14ac:dyDescent="0.25">
      <c r="N53" s="82"/>
    </row>
    <row r="54" spans="2:15" ht="21" x14ac:dyDescent="0.35">
      <c r="B54" s="30" t="s">
        <v>240</v>
      </c>
      <c r="H54" s="71">
        <f>SUM(H10:H42)</f>
        <v>23380</v>
      </c>
      <c r="K54" s="82">
        <f>SUM(K10:K42)</f>
        <v>13600</v>
      </c>
      <c r="L54" s="82">
        <f>SUM(L10:L44)</f>
        <v>9780</v>
      </c>
      <c r="N54" s="82"/>
    </row>
    <row r="55" spans="2:15" ht="21" x14ac:dyDescent="0.35">
      <c r="B55" s="30"/>
      <c r="H55" s="95"/>
      <c r="K55" s="82"/>
      <c r="L55" s="82"/>
      <c r="N55" s="82"/>
    </row>
    <row r="56" spans="2:15" ht="21" x14ac:dyDescent="0.35">
      <c r="B56" s="30" t="s">
        <v>241</v>
      </c>
      <c r="H56" s="71">
        <f>IF(H54&gt;8000,8000,H54)</f>
        <v>8000</v>
      </c>
      <c r="K56" s="82">
        <f>IF(H54&gt;H56,H56,0)</f>
        <v>8000</v>
      </c>
      <c r="L56" s="82"/>
      <c r="N56" s="82"/>
    </row>
    <row r="57" spans="2:15" ht="21" x14ac:dyDescent="0.35">
      <c r="B57" s="30" t="s">
        <v>242</v>
      </c>
      <c r="H57" s="71">
        <f>(H54-H56)*0.4</f>
        <v>6152</v>
      </c>
      <c r="K57" s="82">
        <f>IF(K54&gt;H56,(K54-K56)*0.4,K54)</f>
        <v>2240</v>
      </c>
      <c r="L57" s="82">
        <f>IF(K54&gt;H56,L54*0.4,(K54-H56+L54)*0.4)</f>
        <v>3912</v>
      </c>
      <c r="N57" s="82"/>
    </row>
    <row r="58" spans="2:15" x14ac:dyDescent="0.25">
      <c r="B58" s="6"/>
      <c r="H58" s="99"/>
      <c r="K58" s="82"/>
      <c r="L58" s="82"/>
      <c r="N58" s="82"/>
    </row>
    <row r="59" spans="2:15" x14ac:dyDescent="0.25">
      <c r="B59" s="6" t="s">
        <v>236</v>
      </c>
      <c r="D59" s="16"/>
      <c r="F59" s="103" t="s">
        <v>243</v>
      </c>
      <c r="H59" s="112">
        <f>H45</f>
        <v>5300</v>
      </c>
      <c r="I59" s="23"/>
      <c r="J59" s="81"/>
      <c r="L59" s="82">
        <f>H59</f>
        <v>5300</v>
      </c>
      <c r="N59" s="82"/>
    </row>
    <row r="60" spans="2:15" x14ac:dyDescent="0.25">
      <c r="C60" s="47"/>
      <c r="H60" s="93"/>
      <c r="I60" s="23"/>
      <c r="L60" s="82"/>
    </row>
    <row r="61" spans="2:15" x14ac:dyDescent="0.25">
      <c r="B61" s="6" t="s">
        <v>87</v>
      </c>
      <c r="F61" s="103" t="s">
        <v>244</v>
      </c>
      <c r="H61" s="73">
        <f>H51*1.25</f>
        <v>7500</v>
      </c>
      <c r="I61" s="23"/>
      <c r="J61" s="81"/>
      <c r="L61" s="82">
        <f>H61</f>
        <v>7500</v>
      </c>
    </row>
    <row r="62" spans="2:15" x14ac:dyDescent="0.25">
      <c r="C62" s="47"/>
      <c r="H62" s="92"/>
      <c r="I62" s="23"/>
      <c r="L62" s="82"/>
    </row>
    <row r="63" spans="2:15" ht="21" x14ac:dyDescent="0.35">
      <c r="B63" s="30" t="s">
        <v>245</v>
      </c>
      <c r="H63" s="71">
        <f>IF(H54&gt;H56,H56+H57+H59+H61,H54+H59+H61)</f>
        <v>26952</v>
      </c>
      <c r="K63" s="82">
        <f>K56+K57</f>
        <v>10240</v>
      </c>
      <c r="L63" s="82">
        <f>L57+L59+L61</f>
        <v>16712</v>
      </c>
      <c r="N63" s="82"/>
      <c r="O63" s="82"/>
    </row>
    <row r="64" spans="2:15" ht="21" x14ac:dyDescent="0.35">
      <c r="B64" s="30"/>
      <c r="H64" s="95"/>
      <c r="K64" s="82"/>
      <c r="L64" s="82"/>
    </row>
    <row r="65" spans="2:16" ht="21" x14ac:dyDescent="0.35">
      <c r="B65" s="30" t="s">
        <v>246</v>
      </c>
      <c r="H65" s="51">
        <f>H63/IF($D$5="240/120 V",240,120)</f>
        <v>112.3</v>
      </c>
      <c r="K65" s="83">
        <f>K63/IF($D$5="240/120 V",240,120)</f>
        <v>42.666666666666664</v>
      </c>
      <c r="L65" s="83">
        <f>L63/IF($D$5="240/120 V",240,120)</f>
        <v>69.63333333333334</v>
      </c>
      <c r="N65" s="83"/>
      <c r="O65" s="83"/>
      <c r="P65" s="83"/>
    </row>
    <row r="66" spans="2:16" ht="6" customHeight="1" x14ac:dyDescent="0.25"/>
    <row r="67" spans="2:16" ht="21" x14ac:dyDescent="0.35">
      <c r="B67" s="30" t="s">
        <v>247</v>
      </c>
      <c r="H67" s="50">
        <f>D6</f>
        <v>100</v>
      </c>
    </row>
  </sheetData>
  <mergeCells count="1">
    <mergeCell ref="H45:H46"/>
  </mergeCells>
  <conditionalFormatting sqref="H65">
    <cfRule type="expression" dxfId="2" priority="1">
      <formula>$H$65&gt;$H$67</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558C6-8247-46A8-81A8-876502DE74AD}">
  <dimension ref="A1:P67"/>
  <sheetViews>
    <sheetView topLeftCell="A18" workbookViewId="0">
      <selection activeCell="F54" sqref="F54"/>
    </sheetView>
  </sheetViews>
  <sheetFormatPr defaultRowHeight="15" x14ac:dyDescent="0.25"/>
  <cols>
    <col min="2" max="2" width="16" customWidth="1"/>
    <col min="3" max="3" width="43.85546875" customWidth="1"/>
    <col min="4" max="4" width="20" customWidth="1"/>
    <col min="5" max="5" width="2.5703125" customWidth="1"/>
    <col min="6" max="6" width="12.85546875" customWidth="1"/>
    <col min="7" max="7" width="2.5703125" customWidth="1"/>
    <col min="8" max="8" width="12.85546875" style="3" customWidth="1"/>
    <col min="9" max="9" width="9.28515625" customWidth="1"/>
  </cols>
  <sheetData>
    <row r="1" spans="1:16" x14ac:dyDescent="0.25">
      <c r="A1" s="119" t="s">
        <v>211</v>
      </c>
    </row>
    <row r="2" spans="1:16" ht="26.25" x14ac:dyDescent="0.4">
      <c r="B2" s="29" t="s">
        <v>252</v>
      </c>
    </row>
    <row r="4" spans="1:16" x14ac:dyDescent="0.25">
      <c r="C4" t="s">
        <v>36</v>
      </c>
      <c r="D4" s="14" t="str">
        <f>'Property Information'!D29</f>
        <v>Main Panel</v>
      </c>
      <c r="I4" s="1"/>
    </row>
    <row r="5" spans="1:16" x14ac:dyDescent="0.25">
      <c r="C5" t="s">
        <v>38</v>
      </c>
      <c r="D5" s="14" t="str">
        <f>'Property Information'!D30</f>
        <v>240/120 V</v>
      </c>
      <c r="I5" s="1"/>
    </row>
    <row r="6" spans="1:16" x14ac:dyDescent="0.25">
      <c r="C6" t="s">
        <v>213</v>
      </c>
      <c r="D6" s="14">
        <f>'Property Information'!D31</f>
        <v>100</v>
      </c>
      <c r="I6" s="1"/>
    </row>
    <row r="8" spans="1:16" ht="18.75" x14ac:dyDescent="0.3">
      <c r="B8" s="49" t="s">
        <v>95</v>
      </c>
    </row>
    <row r="9" spans="1:16" ht="45.75" thickBot="1" x14ac:dyDescent="0.3">
      <c r="C9" s="5" t="s">
        <v>214</v>
      </c>
      <c r="D9" s="5" t="s">
        <v>215</v>
      </c>
      <c r="E9" s="5"/>
      <c r="F9" s="5"/>
      <c r="G9" s="5"/>
      <c r="H9" s="24" t="s">
        <v>216</v>
      </c>
      <c r="P9" s="7"/>
    </row>
    <row r="10" spans="1:16" x14ac:dyDescent="0.25">
      <c r="B10" s="6" t="s">
        <v>219</v>
      </c>
      <c r="C10" s="9" t="s">
        <v>220</v>
      </c>
      <c r="H10" s="72">
        <f>'Existing Systems and Loads'!O40</f>
        <v>4500</v>
      </c>
      <c r="J10" s="53"/>
      <c r="K10" s="82">
        <f>H10</f>
        <v>4500</v>
      </c>
      <c r="P10" s="1"/>
    </row>
    <row r="11" spans="1:16" x14ac:dyDescent="0.25">
      <c r="C11" s="9" t="s">
        <v>221</v>
      </c>
      <c r="H11" s="73">
        <f>'Existing Systems and Loads'!O41</f>
        <v>3000</v>
      </c>
      <c r="I11" s="1"/>
      <c r="J11" s="53"/>
      <c r="K11" s="82">
        <f t="shared" ref="K11:K12" si="0">H11</f>
        <v>3000</v>
      </c>
    </row>
    <row r="12" spans="1:16" x14ac:dyDescent="0.25">
      <c r="C12" s="9" t="s">
        <v>105</v>
      </c>
      <c r="D12" s="16"/>
      <c r="H12" s="73">
        <f>'Existing Systems and Loads'!O42</f>
        <v>1500</v>
      </c>
      <c r="I12" s="1"/>
      <c r="J12" s="53"/>
      <c r="K12" s="82">
        <f t="shared" si="0"/>
        <v>1500</v>
      </c>
    </row>
    <row r="13" spans="1:16" x14ac:dyDescent="0.25">
      <c r="C13" s="25"/>
    </row>
    <row r="14" spans="1:16" x14ac:dyDescent="0.25">
      <c r="B14" s="6" t="s">
        <v>222</v>
      </c>
      <c r="C14" s="25"/>
    </row>
    <row r="15" spans="1:16" x14ac:dyDescent="0.25">
      <c r="C15" s="94" t="s">
        <v>167</v>
      </c>
      <c r="H15" s="73">
        <f>'Opt. 1 - Low-Power Appliances'!V13</f>
        <v>480</v>
      </c>
      <c r="J15" s="81"/>
      <c r="L15" s="82">
        <f>H15</f>
        <v>480</v>
      </c>
    </row>
    <row r="16" spans="1:16" x14ac:dyDescent="0.25">
      <c r="C16" t="s">
        <v>223</v>
      </c>
      <c r="H16" s="73">
        <f>'Opt. 1 - Low-Power Appliances'!V14</f>
        <v>4000</v>
      </c>
      <c r="J16" s="81"/>
      <c r="L16" s="82">
        <f>H16</f>
        <v>4000</v>
      </c>
    </row>
    <row r="17" spans="2:12" x14ac:dyDescent="0.25">
      <c r="C17" s="25"/>
    </row>
    <row r="18" spans="2:12" x14ac:dyDescent="0.25">
      <c r="B18" s="6" t="s">
        <v>224</v>
      </c>
      <c r="C18" s="25"/>
    </row>
    <row r="19" spans="2:12" x14ac:dyDescent="0.25">
      <c r="C19" t="s">
        <v>225</v>
      </c>
      <c r="D19" s="16"/>
      <c r="H19" s="73">
        <f>'Opt. 1 - Low-Power Appliances'!V22</f>
        <v>4800</v>
      </c>
      <c r="J19" s="81"/>
      <c r="L19" s="82">
        <f t="shared" ref="L19:L22" si="1">H19</f>
        <v>4800</v>
      </c>
    </row>
    <row r="20" spans="2:12" x14ac:dyDescent="0.25">
      <c r="C20" s="9" t="s">
        <v>226</v>
      </c>
      <c r="H20" s="73" t="str">
        <f>'Opt. 1 - Low-Power Appliances'!V23</f>
        <v/>
      </c>
      <c r="J20" s="81"/>
      <c r="L20" s="82" t="str">
        <f t="shared" si="1"/>
        <v/>
      </c>
    </row>
    <row r="21" spans="2:12" x14ac:dyDescent="0.25">
      <c r="C21" s="9" t="s">
        <v>227</v>
      </c>
      <c r="H21" s="73" t="str">
        <f>'Opt. 1 - Low-Power Appliances'!V24</f>
        <v/>
      </c>
      <c r="J21" s="81"/>
      <c r="L21" s="82" t="str">
        <f t="shared" si="1"/>
        <v/>
      </c>
    </row>
    <row r="22" spans="2:12" x14ac:dyDescent="0.25">
      <c r="C22" s="9" t="s">
        <v>228</v>
      </c>
      <c r="H22" s="73" t="str">
        <f>'Opt. 1 - Low-Power Appliances'!V25</f>
        <v/>
      </c>
      <c r="J22" s="81"/>
      <c r="L22" s="82" t="str">
        <f t="shared" si="1"/>
        <v/>
      </c>
    </row>
    <row r="23" spans="2:12" x14ac:dyDescent="0.25">
      <c r="C23" s="94" t="s">
        <v>109</v>
      </c>
      <c r="H23" s="73">
        <f>'Existing Systems and Loads'!O46</f>
        <v>750</v>
      </c>
      <c r="J23" s="53"/>
      <c r="K23" s="82">
        <f t="shared" ref="K23:K28" si="2">H23</f>
        <v>750</v>
      </c>
    </row>
    <row r="24" spans="2:12" x14ac:dyDescent="0.25">
      <c r="C24" t="s">
        <v>110</v>
      </c>
      <c r="D24" s="16"/>
      <c r="H24" s="73">
        <f>'Existing Systems and Loads'!O47</f>
        <v>600</v>
      </c>
      <c r="I24" s="1"/>
      <c r="J24" s="53"/>
      <c r="K24" s="82">
        <f t="shared" si="2"/>
        <v>600</v>
      </c>
    </row>
    <row r="25" spans="2:12" x14ac:dyDescent="0.25">
      <c r="C25" t="s">
        <v>111</v>
      </c>
      <c r="D25" s="16"/>
      <c r="H25" s="73">
        <f>'Existing Systems and Loads'!O48</f>
        <v>1200</v>
      </c>
      <c r="I25" s="1"/>
      <c r="J25" s="53"/>
      <c r="K25" s="82">
        <f t="shared" si="2"/>
        <v>1200</v>
      </c>
    </row>
    <row r="26" spans="2:12" x14ac:dyDescent="0.25">
      <c r="C26" t="s">
        <v>112</v>
      </c>
      <c r="D26" s="16"/>
      <c r="H26" s="73">
        <f>'Existing Systems and Loads'!O49</f>
        <v>1500</v>
      </c>
      <c r="I26" s="1"/>
      <c r="J26" s="53"/>
      <c r="K26" s="82">
        <f t="shared" si="2"/>
        <v>1500</v>
      </c>
    </row>
    <row r="27" spans="2:12" x14ac:dyDescent="0.25">
      <c r="C27" s="47" t="s">
        <v>113</v>
      </c>
      <c r="D27" s="16"/>
      <c r="H27" s="73">
        <f>'Existing Systems and Loads'!O50</f>
        <v>250</v>
      </c>
      <c r="I27" s="1"/>
      <c r="J27" s="53"/>
      <c r="K27" s="82">
        <f t="shared" si="2"/>
        <v>250</v>
      </c>
    </row>
    <row r="28" spans="2:12" x14ac:dyDescent="0.25">
      <c r="C28" t="s">
        <v>114</v>
      </c>
      <c r="D28" s="16"/>
      <c r="H28" s="73">
        <f>'Existing Systems and Loads'!O51</f>
        <v>300</v>
      </c>
      <c r="I28" s="1"/>
      <c r="J28" s="53"/>
      <c r="K28" s="82">
        <f t="shared" si="2"/>
        <v>300</v>
      </c>
    </row>
    <row r="29" spans="2:12" x14ac:dyDescent="0.25">
      <c r="D29" s="16"/>
      <c r="H29" s="91"/>
      <c r="I29" s="1"/>
      <c r="K29" s="82"/>
    </row>
    <row r="30" spans="2:12" x14ac:dyDescent="0.25">
      <c r="B30" s="6" t="s">
        <v>229</v>
      </c>
      <c r="D30" s="16"/>
      <c r="H30" s="92"/>
      <c r="I30" s="1"/>
      <c r="K30" s="82"/>
    </row>
    <row r="31" spans="2:12" x14ac:dyDescent="0.25">
      <c r="C31" t="s">
        <v>115</v>
      </c>
      <c r="D31" s="48" t="str">
        <f>IF('Existing Systems and Loads'!B52="Y",'Existing Systems and Loads'!E52,"")</f>
        <v/>
      </c>
      <c r="H31" s="73" t="str">
        <f>'Existing Systems and Loads'!O52</f>
        <v/>
      </c>
      <c r="I31" s="1"/>
      <c r="J31" s="53"/>
      <c r="K31" s="82" t="str">
        <f>H31</f>
        <v/>
      </c>
    </row>
    <row r="32" spans="2:12" x14ac:dyDescent="0.25">
      <c r="C32" t="s">
        <v>116</v>
      </c>
      <c r="D32" s="48" t="str">
        <f>IF('Existing Systems and Loads'!B53="Y",'Existing Systems and Loads'!E53,"")</f>
        <v/>
      </c>
      <c r="H32" s="73" t="str">
        <f>'Existing Systems and Loads'!O53</f>
        <v/>
      </c>
      <c r="I32" s="1"/>
      <c r="J32" s="53"/>
      <c r="K32" s="82" t="str">
        <f t="shared" ref="K32:K33" si="3">H32</f>
        <v/>
      </c>
    </row>
    <row r="33" spans="2:13" x14ac:dyDescent="0.25">
      <c r="C33" t="s">
        <v>117</v>
      </c>
      <c r="D33" s="48" t="str">
        <f>IF('Existing Systems and Loads'!B54="Y",'Existing Systems and Loads'!E54,"")</f>
        <v/>
      </c>
      <c r="H33" s="73" t="str">
        <f>'Existing Systems and Loads'!O54</f>
        <v/>
      </c>
      <c r="I33" s="1"/>
      <c r="J33" s="53"/>
      <c r="K33" s="82" t="str">
        <f t="shared" si="3"/>
        <v/>
      </c>
    </row>
    <row r="34" spans="2:13" x14ac:dyDescent="0.25">
      <c r="D34" s="16"/>
      <c r="H34" s="91"/>
      <c r="I34" s="1"/>
      <c r="K34" s="82"/>
    </row>
    <row r="35" spans="2:13" x14ac:dyDescent="0.25">
      <c r="B35" s="6" t="s">
        <v>230</v>
      </c>
      <c r="D35" s="16"/>
      <c r="H35" s="93"/>
      <c r="I35" s="1"/>
      <c r="K35" s="82"/>
    </row>
    <row r="36" spans="2:13" x14ac:dyDescent="0.25">
      <c r="C36" t="s">
        <v>231</v>
      </c>
      <c r="D36" s="48" t="str">
        <f>IF('Existing Systems and Loads'!B30="Y",'Existing Systems and Loads'!E30,"")</f>
        <v/>
      </c>
      <c r="H36" s="73" t="str">
        <f>'Electrification Upgrades'!V38</f>
        <v/>
      </c>
      <c r="I36" s="1"/>
      <c r="J36" s="81"/>
      <c r="L36" s="82" t="str">
        <f t="shared" ref="L36:L38" si="4">H36</f>
        <v/>
      </c>
    </row>
    <row r="37" spans="2:13" x14ac:dyDescent="0.25">
      <c r="C37" t="s">
        <v>232</v>
      </c>
      <c r="D37" s="48" t="str">
        <f>IF('Existing Systems and Loads'!B31="Y",'Existing Systems and Loads'!E31,"")</f>
        <v/>
      </c>
      <c r="H37" s="73" t="str">
        <f>'Electrification Upgrades'!V39</f>
        <v/>
      </c>
      <c r="I37" s="1"/>
      <c r="J37" s="81"/>
      <c r="L37" s="82" t="str">
        <f t="shared" si="4"/>
        <v/>
      </c>
    </row>
    <row r="38" spans="2:13" x14ac:dyDescent="0.25">
      <c r="C38" t="s">
        <v>233</v>
      </c>
      <c r="D38" s="48" t="str">
        <f>IF('Existing Systems and Loads'!B32="Y",'Existing Systems and Loads'!E32,"")</f>
        <v/>
      </c>
      <c r="H38" s="73" t="str">
        <f>'Electrification Upgrades'!V40</f>
        <v/>
      </c>
      <c r="I38" s="1"/>
      <c r="J38" s="81"/>
      <c r="L38" s="82" t="str">
        <f t="shared" si="4"/>
        <v/>
      </c>
    </row>
    <row r="39" spans="2:13" x14ac:dyDescent="0.25">
      <c r="D39" s="16"/>
      <c r="H39" s="93"/>
      <c r="I39" s="1"/>
      <c r="K39" s="82"/>
    </row>
    <row r="40" spans="2:13" x14ac:dyDescent="0.25">
      <c r="B40" s="6" t="s">
        <v>234</v>
      </c>
      <c r="D40" s="16"/>
      <c r="H40" s="92"/>
      <c r="I40" s="1"/>
      <c r="K40" s="82"/>
    </row>
    <row r="41" spans="2:13" x14ac:dyDescent="0.25">
      <c r="C41" t="s">
        <v>235</v>
      </c>
      <c r="D41" s="16"/>
      <c r="H41" s="73">
        <f>'Opt. 1 - Low-Power Appliances'!V6</f>
        <v>4500</v>
      </c>
      <c r="I41" s="1"/>
      <c r="J41" s="81"/>
      <c r="K41" s="82"/>
      <c r="L41" s="82">
        <f t="shared" ref="L41:L42" si="5">H41</f>
        <v>4500</v>
      </c>
    </row>
    <row r="42" spans="2:13" x14ac:dyDescent="0.25">
      <c r="C42" t="s">
        <v>130</v>
      </c>
      <c r="D42" s="16" t="str">
        <f>IF('Existing Systems and Loads'!B52="Y",'Existing Systems and Loads'!E52,"")</f>
        <v/>
      </c>
      <c r="H42" s="73" t="str">
        <f>'Opt. 1 - Low-Power Appliances'!V7</f>
        <v/>
      </c>
      <c r="I42" s="1"/>
      <c r="J42" s="81"/>
      <c r="K42" s="82"/>
      <c r="L42" s="82" t="str">
        <f t="shared" si="5"/>
        <v/>
      </c>
    </row>
    <row r="43" spans="2:13" x14ac:dyDescent="0.25">
      <c r="D43" s="16"/>
      <c r="H43" s="75"/>
    </row>
    <row r="44" spans="2:13" x14ac:dyDescent="0.25">
      <c r="B44" s="104" t="s">
        <v>236</v>
      </c>
      <c r="C44" s="105"/>
      <c r="D44" s="106"/>
      <c r="E44" s="105"/>
      <c r="F44" s="105"/>
      <c r="G44" s="105"/>
      <c r="H44" s="107"/>
      <c r="I44" s="23"/>
    </row>
    <row r="45" spans="2:13" x14ac:dyDescent="0.25">
      <c r="B45" s="21"/>
      <c r="C45" s="20" t="s">
        <v>58</v>
      </c>
      <c r="D45" s="27" t="s">
        <v>237</v>
      </c>
      <c r="F45" s="97">
        <f>'Panel Load - Opt2'!F45</f>
        <v>4800</v>
      </c>
      <c r="H45" s="246">
        <f>MAX(F45:F46)+F47+F48</f>
        <v>5300</v>
      </c>
      <c r="L45" s="98"/>
      <c r="M45" s="1"/>
    </row>
    <row r="46" spans="2:13" x14ac:dyDescent="0.25">
      <c r="B46" s="21"/>
      <c r="C46" t="s">
        <v>149</v>
      </c>
      <c r="D46" s="27" t="s">
        <v>237</v>
      </c>
      <c r="F46" s="97">
        <f>IF('Panel Load - Opt2'!F46="",0,'Panel Load - Opt2'!F46)</f>
        <v>0</v>
      </c>
      <c r="H46" s="247"/>
      <c r="I46" s="23"/>
      <c r="L46" s="98"/>
    </row>
    <row r="47" spans="2:13" x14ac:dyDescent="0.25">
      <c r="B47" s="21"/>
      <c r="C47" s="47" t="s">
        <v>65</v>
      </c>
      <c r="D47" s="27" t="s">
        <v>237</v>
      </c>
      <c r="F47" s="97">
        <f>IF('Panel Load - Opt2'!F47="",0,'Panel Load - Opt2'!F47)</f>
        <v>500</v>
      </c>
      <c r="H47" s="108"/>
      <c r="I47" s="23"/>
      <c r="L47" s="82"/>
    </row>
    <row r="48" spans="2:13" x14ac:dyDescent="0.25">
      <c r="B48" s="21"/>
      <c r="C48" s="47" t="s">
        <v>238</v>
      </c>
      <c r="D48" s="27" t="s">
        <v>237</v>
      </c>
      <c r="F48" s="97">
        <f>'Panel Load - Opt2'!F48</f>
        <v>0</v>
      </c>
      <c r="H48" s="109"/>
      <c r="I48" s="23"/>
      <c r="L48" s="82"/>
    </row>
    <row r="49" spans="2:14" x14ac:dyDescent="0.25">
      <c r="B49" s="111"/>
      <c r="C49" s="18"/>
      <c r="D49" s="18"/>
      <c r="E49" s="18"/>
      <c r="F49" s="18"/>
      <c r="G49" s="18"/>
      <c r="H49" s="110"/>
      <c r="I49" s="23"/>
      <c r="L49" s="82"/>
    </row>
    <row r="50" spans="2:14" x14ac:dyDescent="0.25">
      <c r="B50" s="6" t="s">
        <v>87</v>
      </c>
      <c r="H50" s="93"/>
      <c r="I50" s="23"/>
      <c r="L50" s="82"/>
    </row>
    <row r="51" spans="2:14" x14ac:dyDescent="0.25">
      <c r="C51" t="s">
        <v>87</v>
      </c>
      <c r="D51" s="27" t="s">
        <v>239</v>
      </c>
      <c r="H51" s="73">
        <f>'Opt. 3 - Load Mgmt'!R29*0.5</f>
        <v>0</v>
      </c>
      <c r="L51" s="82"/>
      <c r="N51" s="27" t="s">
        <v>239</v>
      </c>
    </row>
    <row r="52" spans="2:14" x14ac:dyDescent="0.25">
      <c r="D52" s="1" t="s">
        <v>780</v>
      </c>
      <c r="H52" s="74"/>
      <c r="L52" s="82"/>
    </row>
    <row r="54" spans="2:14" ht="21" x14ac:dyDescent="0.35">
      <c r="B54" s="30" t="s">
        <v>240</v>
      </c>
      <c r="H54" s="71">
        <f>SUM(H10:H42)</f>
        <v>27380</v>
      </c>
      <c r="K54" s="82">
        <f>SUM(K10:K42)</f>
        <v>13600</v>
      </c>
      <c r="L54" s="82">
        <f>SUM(L10:L44)</f>
        <v>13780</v>
      </c>
    </row>
    <row r="55" spans="2:14" ht="21" x14ac:dyDescent="0.35">
      <c r="B55" s="30"/>
      <c r="H55" s="95"/>
      <c r="K55" s="82"/>
      <c r="L55" s="82"/>
    </row>
    <row r="56" spans="2:14" ht="21" x14ac:dyDescent="0.35">
      <c r="B56" s="30" t="s">
        <v>241</v>
      </c>
      <c r="H56" s="71">
        <f>IF(H54&gt;8000,8000,H54)</f>
        <v>8000</v>
      </c>
      <c r="K56" s="82">
        <f>IF(H54&gt;H56,H56,0)</f>
        <v>8000</v>
      </c>
      <c r="L56" s="82"/>
    </row>
    <row r="57" spans="2:14" ht="21" x14ac:dyDescent="0.35">
      <c r="B57" s="30" t="s">
        <v>242</v>
      </c>
      <c r="H57" s="71">
        <f>(H54-H56)*0.4</f>
        <v>7752</v>
      </c>
      <c r="K57" s="82">
        <f>IF(K54&gt;H56,(K54-K56)*0.4,K54)</f>
        <v>2240</v>
      </c>
      <c r="L57" s="82">
        <f>IF(K54&gt;H56,L54*0.4,(K54-H56+L54)*0.4)</f>
        <v>5512</v>
      </c>
    </row>
    <row r="58" spans="2:14" x14ac:dyDescent="0.25">
      <c r="B58" s="6"/>
      <c r="H58" s="99"/>
      <c r="K58" s="82"/>
      <c r="L58" s="82"/>
    </row>
    <row r="59" spans="2:14" x14ac:dyDescent="0.25">
      <c r="B59" s="6" t="s">
        <v>236</v>
      </c>
      <c r="D59" s="16"/>
      <c r="F59" s="103" t="s">
        <v>243</v>
      </c>
      <c r="H59" s="112">
        <f>H45</f>
        <v>5300</v>
      </c>
      <c r="I59" s="23"/>
      <c r="J59" s="81"/>
      <c r="L59" s="82">
        <f>H59</f>
        <v>5300</v>
      </c>
    </row>
    <row r="60" spans="2:14" x14ac:dyDescent="0.25">
      <c r="C60" s="47"/>
      <c r="H60" s="93"/>
      <c r="I60" s="23"/>
      <c r="L60" s="82"/>
    </row>
    <row r="61" spans="2:14" x14ac:dyDescent="0.25">
      <c r="B61" s="6" t="s">
        <v>87</v>
      </c>
      <c r="F61" s="103" t="s">
        <v>244</v>
      </c>
      <c r="H61" s="73">
        <f>H51*1.25</f>
        <v>0</v>
      </c>
      <c r="I61" s="23"/>
      <c r="J61" s="81"/>
      <c r="L61" s="82">
        <f>H61</f>
        <v>0</v>
      </c>
    </row>
    <row r="62" spans="2:14" x14ac:dyDescent="0.25">
      <c r="C62" s="47"/>
      <c r="H62" s="92"/>
      <c r="I62" s="23"/>
      <c r="L62" s="82"/>
    </row>
    <row r="63" spans="2:14" ht="21" x14ac:dyDescent="0.35">
      <c r="B63" s="30" t="s">
        <v>245</v>
      </c>
      <c r="H63" s="71">
        <f>IF(H54&gt;H56,H56+H57+H59+H61,H54+H59+H61)</f>
        <v>21052</v>
      </c>
      <c r="K63" s="82">
        <f>K56+K57</f>
        <v>10240</v>
      </c>
      <c r="L63" s="82">
        <f>L57+L59+L61</f>
        <v>10812</v>
      </c>
    </row>
    <row r="64" spans="2:14" ht="21" x14ac:dyDescent="0.35">
      <c r="B64" s="30"/>
      <c r="H64" s="95"/>
      <c r="K64" s="82"/>
      <c r="L64" s="82"/>
    </row>
    <row r="65" spans="2:12" ht="21" x14ac:dyDescent="0.35">
      <c r="B65" s="30" t="s">
        <v>246</v>
      </c>
      <c r="H65" s="51">
        <f>H63/IF($D$5="240/120 V",240,120)</f>
        <v>87.716666666666669</v>
      </c>
      <c r="K65" s="83">
        <f>K63/IF($D$5="240/120 V",240,120)</f>
        <v>42.666666666666664</v>
      </c>
      <c r="L65" s="83">
        <f>L63/IF($D$5="240/120 V",240,120)</f>
        <v>45.05</v>
      </c>
    </row>
    <row r="66" spans="2:12" ht="6" customHeight="1" x14ac:dyDescent="0.25"/>
    <row r="67" spans="2:12" ht="21" x14ac:dyDescent="0.35">
      <c r="B67" s="30" t="s">
        <v>247</v>
      </c>
      <c r="H67" s="50">
        <f>D6</f>
        <v>100</v>
      </c>
    </row>
  </sheetData>
  <mergeCells count="1">
    <mergeCell ref="H45:H46"/>
  </mergeCells>
  <conditionalFormatting sqref="H65">
    <cfRule type="expression" dxfId="1" priority="1">
      <formula>$H$65&gt;$H$67</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D3A3E-4DBA-4145-9C36-0F361DACB935}">
  <dimension ref="A1:P67"/>
  <sheetViews>
    <sheetView workbookViewId="0">
      <selection activeCell="D52" sqref="D52"/>
    </sheetView>
  </sheetViews>
  <sheetFormatPr defaultRowHeight="15" x14ac:dyDescent="0.25"/>
  <cols>
    <col min="2" max="2" width="16" customWidth="1"/>
    <col min="3" max="3" width="43.85546875" customWidth="1"/>
    <col min="4" max="4" width="20" customWidth="1"/>
    <col min="5" max="5" width="2.5703125" customWidth="1"/>
    <col min="6" max="6" width="12.85546875" customWidth="1"/>
    <col min="7" max="7" width="2.5703125" customWidth="1"/>
    <col min="8" max="8" width="12.85546875" style="3" customWidth="1"/>
    <col min="9" max="9" width="9.28515625" customWidth="1"/>
  </cols>
  <sheetData>
    <row r="1" spans="1:16" x14ac:dyDescent="0.25">
      <c r="A1" s="119" t="s">
        <v>211</v>
      </c>
    </row>
    <row r="2" spans="1:16" ht="26.25" x14ac:dyDescent="0.4">
      <c r="B2" s="29" t="s">
        <v>253</v>
      </c>
    </row>
    <row r="4" spans="1:16" x14ac:dyDescent="0.25">
      <c r="C4" t="s">
        <v>36</v>
      </c>
      <c r="D4" s="14" t="str">
        <f>'Property Information'!D29</f>
        <v>Main Panel</v>
      </c>
      <c r="I4" s="1"/>
    </row>
    <row r="5" spans="1:16" x14ac:dyDescent="0.25">
      <c r="C5" t="s">
        <v>38</v>
      </c>
      <c r="D5" s="14" t="str">
        <f>'Property Information'!D30</f>
        <v>240/120 V</v>
      </c>
      <c r="I5" s="1"/>
    </row>
    <row r="6" spans="1:16" x14ac:dyDescent="0.25">
      <c r="C6" t="s">
        <v>213</v>
      </c>
      <c r="D6" s="14">
        <f>'Property Information'!D31</f>
        <v>100</v>
      </c>
      <c r="I6" s="1"/>
    </row>
    <row r="8" spans="1:16" ht="18.75" x14ac:dyDescent="0.3">
      <c r="B8" s="49" t="s">
        <v>95</v>
      </c>
    </row>
    <row r="9" spans="1:16" ht="45.75" thickBot="1" x14ac:dyDescent="0.3">
      <c r="C9" s="5" t="s">
        <v>214</v>
      </c>
      <c r="D9" s="5" t="s">
        <v>215</v>
      </c>
      <c r="E9" s="5"/>
      <c r="F9" s="5"/>
      <c r="G9" s="5"/>
      <c r="H9" s="24" t="s">
        <v>216</v>
      </c>
      <c r="P9" s="7"/>
    </row>
    <row r="10" spans="1:16" x14ac:dyDescent="0.25">
      <c r="B10" s="6" t="s">
        <v>219</v>
      </c>
      <c r="C10" s="9" t="s">
        <v>220</v>
      </c>
      <c r="H10" s="72">
        <f>'Opt. 3 - Load Mgmt'!R58</f>
        <v>4500</v>
      </c>
      <c r="J10" s="53"/>
      <c r="K10" s="82">
        <f>H10</f>
        <v>4500</v>
      </c>
      <c r="P10" s="1"/>
    </row>
    <row r="11" spans="1:16" x14ac:dyDescent="0.25">
      <c r="C11" s="9" t="s">
        <v>221</v>
      </c>
      <c r="H11" s="73">
        <f>'Opt. 3 - Load Mgmt'!R59</f>
        <v>3000</v>
      </c>
      <c r="I11" s="1"/>
      <c r="J11" s="53"/>
      <c r="K11" s="82">
        <f t="shared" ref="K11:K12" si="0">H11</f>
        <v>3000</v>
      </c>
    </row>
    <row r="12" spans="1:16" x14ac:dyDescent="0.25">
      <c r="C12" s="9" t="s">
        <v>105</v>
      </c>
      <c r="D12" s="16"/>
      <c r="H12" s="73">
        <f>'Opt. 3 - Load Mgmt'!R60</f>
        <v>1500</v>
      </c>
      <c r="I12" s="1"/>
      <c r="J12" s="53"/>
      <c r="K12" s="82">
        <f t="shared" si="0"/>
        <v>1500</v>
      </c>
    </row>
    <row r="13" spans="1:16" x14ac:dyDescent="0.25">
      <c r="C13" s="25"/>
    </row>
    <row r="14" spans="1:16" x14ac:dyDescent="0.25">
      <c r="B14" s="6" t="s">
        <v>222</v>
      </c>
      <c r="C14" s="25"/>
    </row>
    <row r="15" spans="1:16" x14ac:dyDescent="0.25">
      <c r="C15" s="94" t="s">
        <v>167</v>
      </c>
      <c r="H15" s="73">
        <f>'Opt. 3 - Load Mgmt'!R45</f>
        <v>480</v>
      </c>
      <c r="J15" s="81"/>
      <c r="L15" s="82">
        <f>H15</f>
        <v>480</v>
      </c>
    </row>
    <row r="16" spans="1:16" x14ac:dyDescent="0.25">
      <c r="C16" t="s">
        <v>223</v>
      </c>
      <c r="H16" s="73">
        <f>'Opt. 3 - Load Mgmt'!R46</f>
        <v>4000</v>
      </c>
      <c r="J16" s="81"/>
      <c r="L16" s="82">
        <f>H16</f>
        <v>4000</v>
      </c>
    </row>
    <row r="17" spans="2:12" x14ac:dyDescent="0.25">
      <c r="C17" s="25"/>
    </row>
    <row r="18" spans="2:12" x14ac:dyDescent="0.25">
      <c r="B18" s="6" t="s">
        <v>224</v>
      </c>
      <c r="C18" s="25"/>
    </row>
    <row r="19" spans="2:12" x14ac:dyDescent="0.25">
      <c r="C19" t="s">
        <v>225</v>
      </c>
      <c r="D19" s="16"/>
      <c r="H19" s="73">
        <f>'Opt. 3 - Load Mgmt'!R47</f>
        <v>4800</v>
      </c>
      <c r="J19" s="81"/>
      <c r="L19" s="82">
        <f t="shared" ref="L19:L22" si="1">H19</f>
        <v>4800</v>
      </c>
    </row>
    <row r="20" spans="2:12" x14ac:dyDescent="0.25">
      <c r="C20" s="9" t="s">
        <v>226</v>
      </c>
      <c r="H20" s="73" t="str">
        <f>'Opt. 3 - Load Mgmt'!R48</f>
        <v/>
      </c>
      <c r="J20" s="81"/>
      <c r="L20" s="82" t="str">
        <f t="shared" si="1"/>
        <v/>
      </c>
    </row>
    <row r="21" spans="2:12" x14ac:dyDescent="0.25">
      <c r="C21" s="9" t="s">
        <v>227</v>
      </c>
      <c r="H21" s="73" t="str">
        <f>'Opt. 3 - Load Mgmt'!R49</f>
        <v/>
      </c>
      <c r="J21" s="81"/>
      <c r="L21" s="82" t="str">
        <f t="shared" si="1"/>
        <v/>
      </c>
    </row>
    <row r="22" spans="2:12" x14ac:dyDescent="0.25">
      <c r="C22" s="9" t="s">
        <v>228</v>
      </c>
      <c r="H22" s="73" t="str">
        <f>'Opt. 3 - Load Mgmt'!R50</f>
        <v/>
      </c>
      <c r="J22" s="81"/>
      <c r="L22" s="82" t="str">
        <f t="shared" si="1"/>
        <v/>
      </c>
    </row>
    <row r="23" spans="2:12" x14ac:dyDescent="0.25">
      <c r="C23" s="94" t="s">
        <v>109</v>
      </c>
      <c r="H23" s="73">
        <f>'Opt. 3 - Load Mgmt'!R62</f>
        <v>750</v>
      </c>
      <c r="J23" s="53"/>
      <c r="K23" s="82">
        <f t="shared" ref="K23:K28" si="2">H23</f>
        <v>750</v>
      </c>
    </row>
    <row r="24" spans="2:12" x14ac:dyDescent="0.25">
      <c r="C24" t="s">
        <v>110</v>
      </c>
      <c r="D24" s="16"/>
      <c r="H24" s="73">
        <f>'Opt. 3 - Load Mgmt'!R63</f>
        <v>600</v>
      </c>
      <c r="I24" s="1"/>
      <c r="J24" s="53"/>
      <c r="K24" s="82">
        <f t="shared" si="2"/>
        <v>600</v>
      </c>
    </row>
    <row r="25" spans="2:12" x14ac:dyDescent="0.25">
      <c r="C25" t="s">
        <v>111</v>
      </c>
      <c r="D25" s="16"/>
      <c r="H25" s="73">
        <f>'Opt. 3 - Load Mgmt'!R64</f>
        <v>1200</v>
      </c>
      <c r="I25" s="1"/>
      <c r="J25" s="53"/>
      <c r="K25" s="82">
        <f t="shared" si="2"/>
        <v>1200</v>
      </c>
    </row>
    <row r="26" spans="2:12" x14ac:dyDescent="0.25">
      <c r="C26" t="s">
        <v>112</v>
      </c>
      <c r="D26" s="16"/>
      <c r="H26" s="73">
        <f>'Opt. 3 - Load Mgmt'!R65</f>
        <v>1500</v>
      </c>
      <c r="I26" s="1"/>
      <c r="J26" s="53"/>
      <c r="K26" s="82">
        <f t="shared" si="2"/>
        <v>1500</v>
      </c>
    </row>
    <row r="27" spans="2:12" x14ac:dyDescent="0.25">
      <c r="C27" s="47" t="s">
        <v>113</v>
      </c>
      <c r="D27" s="16"/>
      <c r="H27" s="73">
        <f>'Opt. 3 - Load Mgmt'!R66</f>
        <v>250</v>
      </c>
      <c r="I27" s="1"/>
      <c r="J27" s="53"/>
      <c r="K27" s="82">
        <f t="shared" si="2"/>
        <v>250</v>
      </c>
    </row>
    <row r="28" spans="2:12" x14ac:dyDescent="0.25">
      <c r="C28" t="s">
        <v>114</v>
      </c>
      <c r="D28" s="16"/>
      <c r="H28" s="73">
        <f>'Opt. 3 - Load Mgmt'!R67</f>
        <v>300</v>
      </c>
      <c r="I28" s="1"/>
      <c r="J28" s="53"/>
      <c r="K28" s="82">
        <f t="shared" si="2"/>
        <v>300</v>
      </c>
    </row>
    <row r="29" spans="2:12" x14ac:dyDescent="0.25">
      <c r="D29" s="16"/>
      <c r="H29" s="91"/>
      <c r="I29" s="1"/>
      <c r="K29" s="82"/>
    </row>
    <row r="30" spans="2:12" x14ac:dyDescent="0.25">
      <c r="B30" s="6" t="s">
        <v>229</v>
      </c>
      <c r="D30" s="16"/>
      <c r="H30" s="92"/>
      <c r="I30" s="1"/>
      <c r="K30" s="82"/>
    </row>
    <row r="31" spans="2:12" x14ac:dyDescent="0.25">
      <c r="C31" t="s">
        <v>115</v>
      </c>
      <c r="D31" s="48" t="str">
        <f>IF('Existing Systems and Loads'!B52="Y",'Existing Systems and Loads'!E52,"")</f>
        <v/>
      </c>
      <c r="H31" s="73" t="str">
        <f>'Existing Systems and Loads'!O52</f>
        <v/>
      </c>
      <c r="I31" s="1"/>
      <c r="J31" s="53"/>
      <c r="K31" s="82" t="str">
        <f>H31</f>
        <v/>
      </c>
    </row>
    <row r="32" spans="2:12" x14ac:dyDescent="0.25">
      <c r="C32" t="s">
        <v>116</v>
      </c>
      <c r="D32" s="48" t="str">
        <f>IF('Existing Systems and Loads'!B53="Y",'Existing Systems and Loads'!E53,"")</f>
        <v/>
      </c>
      <c r="H32" s="73" t="str">
        <f>'Existing Systems and Loads'!O53</f>
        <v/>
      </c>
      <c r="I32" s="1"/>
      <c r="J32" s="53"/>
      <c r="K32" s="82" t="str">
        <f t="shared" ref="K32:K33" si="3">H32</f>
        <v/>
      </c>
    </row>
    <row r="33" spans="2:13" x14ac:dyDescent="0.25">
      <c r="C33" t="s">
        <v>117</v>
      </c>
      <c r="D33" s="48" t="str">
        <f>IF('Existing Systems and Loads'!B54="Y",'Existing Systems and Loads'!E54,"")</f>
        <v/>
      </c>
      <c r="H33" s="73" t="str">
        <f>'Existing Systems and Loads'!O54</f>
        <v/>
      </c>
      <c r="I33" s="1"/>
      <c r="J33" s="53"/>
      <c r="K33" s="82" t="str">
        <f t="shared" si="3"/>
        <v/>
      </c>
    </row>
    <row r="34" spans="2:13" x14ac:dyDescent="0.25">
      <c r="D34" s="16"/>
      <c r="H34" s="91"/>
      <c r="I34" s="1"/>
      <c r="K34" s="82"/>
    </row>
    <row r="35" spans="2:13" x14ac:dyDescent="0.25">
      <c r="B35" s="6" t="s">
        <v>230</v>
      </c>
      <c r="D35" s="16"/>
      <c r="H35" s="93"/>
      <c r="I35" s="1"/>
      <c r="K35" s="82"/>
    </row>
    <row r="36" spans="2:13" x14ac:dyDescent="0.25">
      <c r="C36" t="s">
        <v>231</v>
      </c>
      <c r="D36" s="128" t="str">
        <f>'Opt. 3 - Load Mgmt'!P54</f>
        <v/>
      </c>
      <c r="H36" s="73" t="str">
        <f>'Opt. 3 - Load Mgmt'!R54</f>
        <v/>
      </c>
      <c r="I36" s="1"/>
      <c r="J36" s="81"/>
      <c r="L36" s="82" t="str">
        <f t="shared" ref="L36:L38" si="4">H36</f>
        <v/>
      </c>
    </row>
    <row r="37" spans="2:13" x14ac:dyDescent="0.25">
      <c r="C37" t="s">
        <v>232</v>
      </c>
      <c r="D37" s="128" t="str">
        <f>'Opt. 3 - Load Mgmt'!P55</f>
        <v/>
      </c>
      <c r="H37" s="73" t="str">
        <f>'Opt. 3 - Load Mgmt'!R55</f>
        <v/>
      </c>
      <c r="I37" s="1"/>
      <c r="J37" s="81"/>
      <c r="L37" s="82" t="str">
        <f t="shared" si="4"/>
        <v/>
      </c>
    </row>
    <row r="38" spans="2:13" x14ac:dyDescent="0.25">
      <c r="C38" t="s">
        <v>233</v>
      </c>
      <c r="D38" s="128" t="str">
        <f>'Opt. 3 - Load Mgmt'!P56</f>
        <v/>
      </c>
      <c r="H38" s="73" t="str">
        <f>'Opt. 3 - Load Mgmt'!R56</f>
        <v/>
      </c>
      <c r="I38" s="1"/>
      <c r="J38" s="81"/>
      <c r="L38" s="82" t="str">
        <f t="shared" si="4"/>
        <v/>
      </c>
    </row>
    <row r="39" spans="2:13" x14ac:dyDescent="0.25">
      <c r="D39" s="16"/>
      <c r="H39" s="93"/>
      <c r="I39" s="1"/>
      <c r="K39" s="82"/>
    </row>
    <row r="40" spans="2:13" x14ac:dyDescent="0.25">
      <c r="B40" s="6" t="s">
        <v>234</v>
      </c>
      <c r="D40" s="16"/>
      <c r="H40" s="92"/>
      <c r="I40" s="1"/>
      <c r="K40" s="82"/>
    </row>
    <row r="41" spans="2:13" x14ac:dyDescent="0.25">
      <c r="C41" t="s">
        <v>235</v>
      </c>
      <c r="D41" s="16"/>
      <c r="H41" s="73">
        <f>'Opt. 3 - Load Mgmt'!R51</f>
        <v>4500</v>
      </c>
      <c r="I41" s="1"/>
      <c r="J41" s="81"/>
      <c r="K41" s="82"/>
      <c r="L41" s="82">
        <f t="shared" ref="L41:L42" si="5">H41</f>
        <v>4500</v>
      </c>
    </row>
    <row r="42" spans="2:13" x14ac:dyDescent="0.25">
      <c r="C42" t="s">
        <v>130</v>
      </c>
      <c r="D42" s="16" t="str">
        <f>IF('Existing Systems and Loads'!B52="Y",'Existing Systems and Loads'!E52,"")</f>
        <v/>
      </c>
      <c r="H42" s="73" t="str">
        <f>'Opt. 3 - Load Mgmt'!R52</f>
        <v/>
      </c>
      <c r="I42" s="1"/>
      <c r="J42" s="81"/>
      <c r="K42" s="82"/>
      <c r="L42" s="82" t="str">
        <f t="shared" si="5"/>
        <v/>
      </c>
    </row>
    <row r="43" spans="2:13" x14ac:dyDescent="0.25">
      <c r="D43" s="16"/>
      <c r="H43" s="75"/>
    </row>
    <row r="44" spans="2:13" x14ac:dyDescent="0.25">
      <c r="B44" s="104" t="s">
        <v>236</v>
      </c>
      <c r="C44" s="105"/>
      <c r="D44" s="106"/>
      <c r="E44" s="105"/>
      <c r="F44" s="105"/>
      <c r="G44" s="105"/>
      <c r="H44" s="107"/>
      <c r="I44" s="23"/>
    </row>
    <row r="45" spans="2:13" x14ac:dyDescent="0.25">
      <c r="B45" s="21"/>
      <c r="C45" s="20" t="s">
        <v>58</v>
      </c>
      <c r="D45" s="27" t="s">
        <v>237</v>
      </c>
      <c r="F45" s="97">
        <f>IF('Opt. 3 - Load Mgmt'!R40="",0,'Opt. 3 - Load Mgmt'!R40)</f>
        <v>4800</v>
      </c>
      <c r="H45" s="246">
        <f>MAX(F45:F46)+F47+F48</f>
        <v>5300</v>
      </c>
      <c r="L45" s="98"/>
      <c r="M45" s="1"/>
    </row>
    <row r="46" spans="2:13" x14ac:dyDescent="0.25">
      <c r="B46" s="21"/>
      <c r="C46" t="s">
        <v>149</v>
      </c>
      <c r="D46" s="27" t="s">
        <v>237</v>
      </c>
      <c r="F46" s="97">
        <f>IF('Opt. 3 - Load Mgmt'!R41="",0,'Opt. 3 - Load Mgmt'!R41)</f>
        <v>0</v>
      </c>
      <c r="H46" s="247"/>
      <c r="I46" s="23"/>
      <c r="L46" s="98"/>
    </row>
    <row r="47" spans="2:13" x14ac:dyDescent="0.25">
      <c r="B47" s="21"/>
      <c r="C47" s="47" t="s">
        <v>65</v>
      </c>
      <c r="D47" s="27" t="s">
        <v>237</v>
      </c>
      <c r="F47" s="97">
        <f>IF('Opt. 3 - Load Mgmt'!R42="",0,'Opt. 3 - Load Mgmt'!R42)</f>
        <v>500</v>
      </c>
      <c r="H47" s="108"/>
      <c r="I47" s="23"/>
      <c r="L47" s="82"/>
    </row>
    <row r="48" spans="2:13" x14ac:dyDescent="0.25">
      <c r="B48" s="21"/>
      <c r="C48" s="47" t="s">
        <v>238</v>
      </c>
      <c r="D48" s="27" t="s">
        <v>237</v>
      </c>
      <c r="F48" s="97">
        <f>IF('Opt. 3 - Load Mgmt'!R43="",0,'Opt. 3 - Load Mgmt'!R43*0.65)</f>
        <v>0</v>
      </c>
      <c r="H48" s="109"/>
      <c r="I48" s="23"/>
      <c r="L48" s="82"/>
    </row>
    <row r="49" spans="2:14" x14ac:dyDescent="0.25">
      <c r="B49" s="111"/>
      <c r="C49" s="18"/>
      <c r="D49" s="18"/>
      <c r="E49" s="18"/>
      <c r="F49" s="18"/>
      <c r="G49" s="18"/>
      <c r="H49" s="110"/>
      <c r="I49" s="23"/>
      <c r="L49" s="82"/>
    </row>
    <row r="50" spans="2:14" x14ac:dyDescent="0.25">
      <c r="B50" s="6" t="s">
        <v>87</v>
      </c>
      <c r="H50" s="93"/>
      <c r="I50" s="23"/>
      <c r="L50" s="82"/>
    </row>
    <row r="51" spans="2:14" x14ac:dyDescent="0.25">
      <c r="C51" t="s">
        <v>87</v>
      </c>
      <c r="D51" s="27" t="s">
        <v>239</v>
      </c>
      <c r="H51" s="73">
        <f>IF('Opt. 3 - Load Mgmt'!R53="",0,'Opt. 3 - Load Mgmt'!R53*0.5)</f>
        <v>0</v>
      </c>
      <c r="L51" s="82"/>
      <c r="N51" s="27" t="s">
        <v>239</v>
      </c>
    </row>
    <row r="52" spans="2:14" x14ac:dyDescent="0.25">
      <c r="H52" s="74"/>
      <c r="L52" s="82"/>
    </row>
    <row r="54" spans="2:14" ht="21" x14ac:dyDescent="0.35">
      <c r="B54" s="30" t="s">
        <v>240</v>
      </c>
      <c r="H54" s="71">
        <f>SUM(H10:H42)</f>
        <v>27380</v>
      </c>
      <c r="K54" s="82">
        <f>SUM(K10:K42)</f>
        <v>13600</v>
      </c>
      <c r="L54" s="82">
        <f>SUM(L10:L44)</f>
        <v>13780</v>
      </c>
    </row>
    <row r="55" spans="2:14" ht="21" x14ac:dyDescent="0.35">
      <c r="B55" s="30"/>
      <c r="H55" s="95"/>
      <c r="K55" s="82"/>
      <c r="L55" s="82"/>
    </row>
    <row r="56" spans="2:14" ht="21" x14ac:dyDescent="0.35">
      <c r="B56" s="30" t="s">
        <v>241</v>
      </c>
      <c r="H56" s="71">
        <f>IF(H54&gt;8000,8000,H54)</f>
        <v>8000</v>
      </c>
      <c r="K56" s="82">
        <f>IF(H54&gt;H56,H56,0)</f>
        <v>8000</v>
      </c>
      <c r="L56" s="82"/>
    </row>
    <row r="57" spans="2:14" ht="21" x14ac:dyDescent="0.35">
      <c r="B57" s="30" t="s">
        <v>242</v>
      </c>
      <c r="H57" s="71">
        <f>(H54-H56)*0.4</f>
        <v>7752</v>
      </c>
      <c r="K57" s="82">
        <f>IF(K54&gt;H56,(K54-K56)*0.4,K54)</f>
        <v>2240</v>
      </c>
      <c r="L57" s="82">
        <f>IF(K54&gt;H56,L54*0.4,(K54-H56+L54)*0.4)</f>
        <v>5512</v>
      </c>
    </row>
    <row r="58" spans="2:14" x14ac:dyDescent="0.25">
      <c r="B58" s="6"/>
      <c r="H58" s="99"/>
      <c r="K58" s="82"/>
      <c r="L58" s="82"/>
    </row>
    <row r="59" spans="2:14" x14ac:dyDescent="0.25">
      <c r="B59" s="6" t="s">
        <v>236</v>
      </c>
      <c r="D59" s="16"/>
      <c r="F59" s="103" t="s">
        <v>243</v>
      </c>
      <c r="H59" s="112">
        <f>IF(H45="",0,H45)</f>
        <v>5300</v>
      </c>
      <c r="I59" s="23"/>
      <c r="J59" s="81"/>
      <c r="L59" s="82">
        <f>H59</f>
        <v>5300</v>
      </c>
    </row>
    <row r="60" spans="2:14" x14ac:dyDescent="0.25">
      <c r="C60" s="47"/>
      <c r="H60" s="93"/>
      <c r="I60" s="23"/>
      <c r="L60" s="82"/>
    </row>
    <row r="61" spans="2:14" x14ac:dyDescent="0.25">
      <c r="B61" s="6" t="s">
        <v>87</v>
      </c>
      <c r="F61" s="103" t="s">
        <v>244</v>
      </c>
      <c r="H61" s="73">
        <f>IF(H51="",0,H51*1.25)</f>
        <v>0</v>
      </c>
      <c r="I61" s="23"/>
      <c r="J61" s="81"/>
      <c r="L61" s="82">
        <f>H61</f>
        <v>0</v>
      </c>
    </row>
    <row r="62" spans="2:14" x14ac:dyDescent="0.25">
      <c r="C62" s="47"/>
      <c r="H62" s="92"/>
      <c r="I62" s="23"/>
      <c r="L62" s="82"/>
    </row>
    <row r="63" spans="2:14" ht="21" x14ac:dyDescent="0.35">
      <c r="B63" s="30" t="s">
        <v>245</v>
      </c>
      <c r="H63" s="71">
        <f>IF(H54&gt;H56,H56+H57+H59+H61,H54+H59+H61)</f>
        <v>21052</v>
      </c>
      <c r="K63" s="82">
        <f>K56+K57</f>
        <v>10240</v>
      </c>
      <c r="L63" s="82">
        <f>L57+L59+L61</f>
        <v>10812</v>
      </c>
    </row>
    <row r="64" spans="2:14" ht="21" x14ac:dyDescent="0.35">
      <c r="B64" s="30"/>
      <c r="H64" s="95"/>
      <c r="K64" s="82"/>
      <c r="L64" s="82"/>
    </row>
    <row r="65" spans="2:12" ht="21" x14ac:dyDescent="0.35">
      <c r="B65" s="30" t="s">
        <v>246</v>
      </c>
      <c r="H65" s="51">
        <f>H63/IF($D$5="240/120 V",240,120)</f>
        <v>87.716666666666669</v>
      </c>
      <c r="K65" s="83">
        <f>K63/IF($D$5="240/120 V",240,120)</f>
        <v>42.666666666666664</v>
      </c>
      <c r="L65" s="83">
        <f>L63/IF($D$5="240/120 V",240,120)</f>
        <v>45.05</v>
      </c>
    </row>
    <row r="66" spans="2:12" ht="6" customHeight="1" x14ac:dyDescent="0.25"/>
    <row r="67" spans="2:12" ht="21" x14ac:dyDescent="0.35">
      <c r="B67" s="30" t="s">
        <v>247</v>
      </c>
      <c r="H67" s="50">
        <f>D6</f>
        <v>100</v>
      </c>
    </row>
  </sheetData>
  <mergeCells count="1">
    <mergeCell ref="H45:H46"/>
  </mergeCells>
  <conditionalFormatting sqref="H65">
    <cfRule type="expression" dxfId="0" priority="1">
      <formula>$H$65&gt;$H$67</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3EF6D-3915-4F12-991B-C978EFF6C1AC}">
  <dimension ref="A1:AI145"/>
  <sheetViews>
    <sheetView topLeftCell="A85" workbookViewId="0">
      <selection activeCell="F40" sqref="F40:F43"/>
    </sheetView>
  </sheetViews>
  <sheetFormatPr defaultRowHeight="15" x14ac:dyDescent="0.25"/>
  <cols>
    <col min="1" max="1" width="17.140625" customWidth="1"/>
    <col min="2" max="2" width="2.5703125" customWidth="1"/>
    <col min="3" max="3" width="17.140625" customWidth="1"/>
    <col min="4" max="4" width="2" customWidth="1"/>
    <col min="5" max="5" width="17.140625" customWidth="1"/>
    <col min="6" max="6" width="2.140625" customWidth="1"/>
    <col min="7" max="7" width="17.140625" customWidth="1"/>
    <col min="8" max="8" width="2.28515625" customWidth="1"/>
    <col min="9" max="9" width="17.140625" customWidth="1"/>
    <col min="10" max="10" width="2" customWidth="1"/>
    <col min="11" max="11" width="17.140625" customWidth="1"/>
    <col min="12" max="12" width="2.28515625" customWidth="1"/>
    <col min="13" max="13" width="17.140625" customWidth="1"/>
    <col min="14" max="14" width="2.28515625" customWidth="1"/>
    <col min="15" max="15" width="17.140625" customWidth="1"/>
    <col min="16" max="16" width="2.140625" customWidth="1"/>
    <col min="17" max="17" width="17.140625" customWidth="1"/>
    <col min="18" max="18" width="2.28515625" customWidth="1"/>
    <col min="19" max="19" width="17.140625" customWidth="1"/>
    <col min="20" max="20" width="2.28515625" customWidth="1"/>
    <col min="21" max="21" width="17.140625" customWidth="1"/>
    <col min="22" max="22" width="2.28515625" customWidth="1"/>
    <col min="23" max="23" width="17.140625" customWidth="1"/>
    <col min="24" max="24" width="2.28515625" customWidth="1"/>
    <col min="25" max="25" width="17.140625" customWidth="1"/>
    <col min="26" max="26" width="2.28515625" customWidth="1"/>
    <col min="27" max="27" width="17.140625" customWidth="1"/>
    <col min="28" max="28" width="2.28515625" customWidth="1"/>
    <col min="29" max="29" width="17.140625" customWidth="1"/>
    <col min="30" max="30" width="2.28515625" customWidth="1"/>
    <col min="31" max="31" width="17.140625" customWidth="1"/>
    <col min="32" max="32" width="2.28515625" customWidth="1"/>
    <col min="33" max="33" width="17.140625" customWidth="1"/>
    <col min="34" max="34" width="2.28515625" customWidth="1"/>
    <col min="35" max="35" width="17.140625" customWidth="1"/>
    <col min="36" max="36" width="2.28515625" customWidth="1"/>
    <col min="37" max="37" width="17.140625" customWidth="1"/>
    <col min="38" max="38" width="2.28515625" customWidth="1"/>
    <col min="39" max="39" width="17.140625" customWidth="1"/>
    <col min="40" max="40" width="2.28515625" customWidth="1"/>
    <col min="41" max="41" width="17.140625" customWidth="1"/>
    <col min="42" max="42" width="2.28515625" customWidth="1"/>
  </cols>
  <sheetData>
    <row r="1" spans="1:12" ht="21" x14ac:dyDescent="0.35">
      <c r="A1" s="30" t="s">
        <v>254</v>
      </c>
    </row>
    <row r="2" spans="1:12" s="4" customFormat="1" ht="30.75" thickBot="1" x14ac:dyDescent="0.3">
      <c r="A2" s="34" t="s">
        <v>255</v>
      </c>
      <c r="C2" s="34" t="s">
        <v>256</v>
      </c>
      <c r="E2" s="34" t="s">
        <v>257</v>
      </c>
      <c r="G2" s="35"/>
      <c r="I2" s="35"/>
      <c r="L2" s="35"/>
    </row>
    <row r="3" spans="1:12" x14ac:dyDescent="0.25">
      <c r="A3" s="3" t="s">
        <v>27</v>
      </c>
      <c r="C3" s="36" t="s">
        <v>29</v>
      </c>
      <c r="E3" t="s">
        <v>34</v>
      </c>
      <c r="G3" s="3"/>
      <c r="I3" s="3"/>
    </row>
    <row r="4" spans="1:12" x14ac:dyDescent="0.25">
      <c r="A4" s="3" t="s">
        <v>258</v>
      </c>
      <c r="C4" s="36" t="s">
        <v>259</v>
      </c>
      <c r="E4" t="s">
        <v>260</v>
      </c>
      <c r="G4" s="3"/>
      <c r="I4" s="3"/>
    </row>
    <row r="5" spans="1:12" x14ac:dyDescent="0.25">
      <c r="A5" s="3" t="s">
        <v>261</v>
      </c>
      <c r="C5" s="36" t="s">
        <v>262</v>
      </c>
      <c r="E5" t="s">
        <v>263</v>
      </c>
      <c r="G5" s="3"/>
      <c r="I5" s="3"/>
    </row>
    <row r="6" spans="1:12" x14ac:dyDescent="0.25">
      <c r="C6" s="36"/>
      <c r="E6" t="s">
        <v>264</v>
      </c>
      <c r="G6" s="3"/>
      <c r="I6" s="3"/>
    </row>
    <row r="7" spans="1:12" x14ac:dyDescent="0.25">
      <c r="A7" s="1"/>
      <c r="C7" s="36"/>
      <c r="E7" t="s">
        <v>265</v>
      </c>
      <c r="G7" s="3"/>
      <c r="I7" s="3"/>
    </row>
    <row r="8" spans="1:12" x14ac:dyDescent="0.25">
      <c r="C8" s="36"/>
      <c r="E8" t="s">
        <v>266</v>
      </c>
      <c r="G8" s="3"/>
      <c r="I8" s="3"/>
    </row>
    <row r="9" spans="1:12" x14ac:dyDescent="0.25">
      <c r="C9" s="36"/>
      <c r="I9" s="3"/>
    </row>
    <row r="10" spans="1:12" x14ac:dyDescent="0.25">
      <c r="C10" s="36"/>
    </row>
    <row r="12" spans="1:12" x14ac:dyDescent="0.25">
      <c r="C12" s="39"/>
    </row>
    <row r="14" spans="1:12" ht="21" x14ac:dyDescent="0.35">
      <c r="A14" s="30" t="s">
        <v>267</v>
      </c>
    </row>
    <row r="15" spans="1:12" s="4" customFormat="1" ht="30.75" thickBot="1" x14ac:dyDescent="0.3">
      <c r="A15" s="34" t="s">
        <v>268</v>
      </c>
      <c r="C15" s="34" t="s">
        <v>269</v>
      </c>
      <c r="E15" s="34" t="s">
        <v>270</v>
      </c>
      <c r="G15" s="34" t="s">
        <v>38</v>
      </c>
    </row>
    <row r="16" spans="1:12" x14ac:dyDescent="0.25">
      <c r="A16" s="3" t="s">
        <v>57</v>
      </c>
      <c r="C16">
        <v>0</v>
      </c>
      <c r="E16" s="3">
        <v>2</v>
      </c>
      <c r="G16" s="3" t="s">
        <v>271</v>
      </c>
    </row>
    <row r="17" spans="1:29" x14ac:dyDescent="0.25">
      <c r="A17" s="3" t="s">
        <v>68</v>
      </c>
      <c r="C17">
        <v>1</v>
      </c>
      <c r="E17" s="3">
        <v>3</v>
      </c>
      <c r="G17" s="3" t="s">
        <v>272</v>
      </c>
    </row>
    <row r="18" spans="1:29" x14ac:dyDescent="0.25">
      <c r="C18">
        <v>2</v>
      </c>
      <c r="E18" s="3">
        <v>4</v>
      </c>
    </row>
    <row r="19" spans="1:29" x14ac:dyDescent="0.25">
      <c r="C19">
        <v>3</v>
      </c>
      <c r="E19" s="3">
        <v>5</v>
      </c>
    </row>
    <row r="20" spans="1:29" x14ac:dyDescent="0.25">
      <c r="C20">
        <v>4</v>
      </c>
      <c r="S20" s="1"/>
      <c r="W20" s="1"/>
    </row>
    <row r="24" spans="1:29" x14ac:dyDescent="0.25">
      <c r="E24" s="1" t="s">
        <v>273</v>
      </c>
      <c r="I24" s="19"/>
      <c r="K24" s="19"/>
      <c r="Q24" t="s">
        <v>274</v>
      </c>
      <c r="S24" s="19" t="s">
        <v>275</v>
      </c>
      <c r="U24" s="31"/>
    </row>
    <row r="25" spans="1:29" ht="30.75" thickBot="1" x14ac:dyDescent="0.3">
      <c r="A25" s="34" t="s">
        <v>276</v>
      </c>
      <c r="B25" s="4"/>
      <c r="C25" s="34" t="s">
        <v>277</v>
      </c>
      <c r="D25" s="4"/>
      <c r="E25" s="34" t="s">
        <v>278</v>
      </c>
      <c r="G25" s="34" t="s">
        <v>279</v>
      </c>
      <c r="I25" s="34" t="s">
        <v>280</v>
      </c>
      <c r="K25" s="34" t="s">
        <v>281</v>
      </c>
      <c r="O25" s="34" t="s">
        <v>282</v>
      </c>
      <c r="P25" s="4"/>
      <c r="Q25" s="34" t="s">
        <v>283</v>
      </c>
      <c r="S25" s="33" t="s">
        <v>284</v>
      </c>
      <c r="W25" s="54" t="s">
        <v>65</v>
      </c>
      <c r="Y25" s="54" t="s">
        <v>285</v>
      </c>
      <c r="AA25" s="54" t="s">
        <v>286</v>
      </c>
      <c r="AC25" s="54" t="s">
        <v>287</v>
      </c>
    </row>
    <row r="26" spans="1:29" x14ac:dyDescent="0.25">
      <c r="A26" t="s">
        <v>59</v>
      </c>
      <c r="C26" s="3" t="s">
        <v>60</v>
      </c>
      <c r="E26" s="3">
        <f>$W$88</f>
        <v>2.5</v>
      </c>
      <c r="G26" s="65">
        <v>100</v>
      </c>
      <c r="I26" s="65">
        <f>AA88</f>
        <v>7680</v>
      </c>
      <c r="J26" s="47"/>
      <c r="K26" s="65">
        <f>AC88</f>
        <v>4800</v>
      </c>
      <c r="O26" t="s">
        <v>59</v>
      </c>
      <c r="Q26" s="3">
        <f>U92</f>
        <v>10.147500000000001</v>
      </c>
      <c r="S26" s="3">
        <f>W92*1100</f>
        <v>2200</v>
      </c>
      <c r="W26" t="s">
        <v>66</v>
      </c>
      <c r="Y26">
        <v>600</v>
      </c>
      <c r="AA26" t="s">
        <v>69</v>
      </c>
      <c r="AC26">
        <f>I26*0.75</f>
        <v>5760</v>
      </c>
    </row>
    <row r="27" spans="1:29" x14ac:dyDescent="0.25">
      <c r="A27" t="s">
        <v>288</v>
      </c>
      <c r="C27" s="3" t="s">
        <v>280</v>
      </c>
      <c r="E27" s="3"/>
      <c r="K27" s="3"/>
      <c r="O27" t="s">
        <v>289</v>
      </c>
      <c r="W27" t="s">
        <v>185</v>
      </c>
      <c r="Y27">
        <v>0</v>
      </c>
      <c r="AA27" t="s">
        <v>185</v>
      </c>
      <c r="AC27">
        <v>0</v>
      </c>
    </row>
    <row r="28" spans="1:29" x14ac:dyDescent="0.25">
      <c r="A28" t="s">
        <v>290</v>
      </c>
      <c r="C28" t="s">
        <v>128</v>
      </c>
      <c r="E28" s="3"/>
      <c r="K28" s="3"/>
      <c r="O28" t="s">
        <v>291</v>
      </c>
      <c r="S28" s="3">
        <v>750</v>
      </c>
    </row>
    <row r="29" spans="1:29" x14ac:dyDescent="0.25">
      <c r="C29" s="3"/>
      <c r="E29" s="3"/>
      <c r="K29" s="3"/>
    </row>
    <row r="30" spans="1:29" ht="60" x14ac:dyDescent="0.25">
      <c r="C30" s="3"/>
      <c r="E30" s="3"/>
      <c r="G30" s="39" t="s">
        <v>292</v>
      </c>
      <c r="I30" s="40" t="s">
        <v>293</v>
      </c>
      <c r="K30" s="40"/>
      <c r="Q30" s="39"/>
      <c r="S30" s="40" t="s">
        <v>294</v>
      </c>
      <c r="Y30" s="39"/>
      <c r="AC30" s="39" t="s">
        <v>295</v>
      </c>
    </row>
    <row r="31" spans="1:29" x14ac:dyDescent="0.25">
      <c r="A31" s="1"/>
      <c r="E31" s="3"/>
      <c r="I31" s="1"/>
      <c r="K31" s="1"/>
    </row>
    <row r="32" spans="1:29" x14ac:dyDescent="0.25">
      <c r="E32" s="3"/>
      <c r="K32" s="1"/>
    </row>
    <row r="33" spans="1:35" x14ac:dyDescent="0.25">
      <c r="E33" s="3"/>
      <c r="K33" s="57"/>
    </row>
    <row r="35" spans="1:35" ht="30.75" thickBot="1" x14ac:dyDescent="0.3">
      <c r="A35" s="34" t="s">
        <v>296</v>
      </c>
      <c r="B35" s="4"/>
      <c r="C35" s="34" t="s">
        <v>297</v>
      </c>
      <c r="E35" s="34" t="s">
        <v>298</v>
      </c>
      <c r="F35" s="4"/>
      <c r="G35" s="34" t="s">
        <v>299</v>
      </c>
      <c r="H35" s="4"/>
      <c r="I35" s="34" t="s">
        <v>300</v>
      </c>
      <c r="K35" s="54" t="s">
        <v>301</v>
      </c>
      <c r="M35" s="54" t="s">
        <v>302</v>
      </c>
      <c r="O35" s="54" t="s">
        <v>303</v>
      </c>
    </row>
    <row r="36" spans="1:35" x14ac:dyDescent="0.25">
      <c r="A36" t="s">
        <v>72</v>
      </c>
      <c r="C36" s="3">
        <v>480</v>
      </c>
      <c r="E36" t="s">
        <v>72</v>
      </c>
      <c r="G36" t="s">
        <v>74</v>
      </c>
      <c r="K36" s="3">
        <v>480</v>
      </c>
      <c r="M36" s="3">
        <f>30*0.8*240</f>
        <v>5760</v>
      </c>
      <c r="O36" s="64">
        <f>30*0.8*240</f>
        <v>5760</v>
      </c>
    </row>
    <row r="37" spans="1:35" x14ac:dyDescent="0.25">
      <c r="A37" t="s">
        <v>304</v>
      </c>
      <c r="C37" s="3"/>
      <c r="E37" t="s">
        <v>304</v>
      </c>
      <c r="G37" s="3" t="s">
        <v>280</v>
      </c>
    </row>
    <row r="38" spans="1:35" x14ac:dyDescent="0.25">
      <c r="A38" t="s">
        <v>305</v>
      </c>
      <c r="C38" s="3"/>
      <c r="E38" t="s">
        <v>305</v>
      </c>
      <c r="G38" t="s">
        <v>128</v>
      </c>
    </row>
    <row r="41" spans="1:35" x14ac:dyDescent="0.25">
      <c r="A41" t="s">
        <v>306</v>
      </c>
      <c r="K41" s="6" t="s">
        <v>307</v>
      </c>
      <c r="S41" s="6" t="s">
        <v>308</v>
      </c>
      <c r="AA41" s="6" t="s">
        <v>309</v>
      </c>
    </row>
    <row r="42" spans="1:35" s="4" customFormat="1" ht="30.75" thickBot="1" x14ac:dyDescent="0.3">
      <c r="A42" s="34" t="s">
        <v>310</v>
      </c>
      <c r="C42" s="34" t="s">
        <v>311</v>
      </c>
      <c r="E42" s="34" t="s">
        <v>312</v>
      </c>
      <c r="G42" s="34" t="s">
        <v>313</v>
      </c>
      <c r="I42" s="34" t="s">
        <v>314</v>
      </c>
      <c r="K42" s="34" t="s">
        <v>315</v>
      </c>
      <c r="M42" s="34" t="s">
        <v>316</v>
      </c>
      <c r="O42" s="34" t="s">
        <v>317</v>
      </c>
      <c r="Q42" s="34" t="s">
        <v>318</v>
      </c>
      <c r="S42" s="34" t="s">
        <v>315</v>
      </c>
      <c r="U42" s="34" t="s">
        <v>316</v>
      </c>
      <c r="W42" s="34" t="s">
        <v>319</v>
      </c>
      <c r="Y42" s="34" t="s">
        <v>320</v>
      </c>
      <c r="AA42" s="34" t="s">
        <v>321</v>
      </c>
      <c r="AC42" s="34" t="s">
        <v>316</v>
      </c>
      <c r="AE42" s="34" t="s">
        <v>322</v>
      </c>
      <c r="AG42" s="34" t="s">
        <v>323</v>
      </c>
      <c r="AI42" s="34" t="s">
        <v>324</v>
      </c>
    </row>
    <row r="43" spans="1:35" s="3" customFormat="1" x14ac:dyDescent="0.25">
      <c r="A43" s="3" t="s">
        <v>325</v>
      </c>
      <c r="C43" s="3" t="s">
        <v>74</v>
      </c>
      <c r="E43" s="3">
        <v>480</v>
      </c>
      <c r="G43" s="3">
        <v>4800</v>
      </c>
      <c r="I43" s="3">
        <v>4800</v>
      </c>
      <c r="K43" s="3" t="s">
        <v>326</v>
      </c>
      <c r="M43" s="3" t="s">
        <v>74</v>
      </c>
      <c r="O43" s="3">
        <v>480</v>
      </c>
      <c r="Q43" s="3">
        <v>4800</v>
      </c>
      <c r="S43" s="3" t="s">
        <v>327</v>
      </c>
      <c r="U43" s="3" t="s">
        <v>74</v>
      </c>
      <c r="W43" s="3">
        <v>480</v>
      </c>
      <c r="Y43" s="3">
        <v>8000</v>
      </c>
      <c r="AA43" s="3" t="s">
        <v>328</v>
      </c>
      <c r="AC43" s="3" t="s">
        <v>74</v>
      </c>
      <c r="AE43" s="3">
        <v>480</v>
      </c>
      <c r="AG43" s="3">
        <v>3600</v>
      </c>
      <c r="AI43" s="3">
        <v>3600</v>
      </c>
    </row>
    <row r="44" spans="1:35" s="3" customFormat="1" x14ac:dyDescent="0.25">
      <c r="A44" s="3" t="s">
        <v>77</v>
      </c>
      <c r="C44" s="3" t="s">
        <v>280</v>
      </c>
      <c r="M44" s="3" t="s">
        <v>280</v>
      </c>
      <c r="U44" s="3" t="s">
        <v>280</v>
      </c>
      <c r="AA44" s="3" t="s">
        <v>329</v>
      </c>
      <c r="AC44" s="3" t="s">
        <v>280</v>
      </c>
    </row>
    <row r="45" spans="1:35" s="3" customFormat="1" x14ac:dyDescent="0.25">
      <c r="A45" s="3" t="s">
        <v>330</v>
      </c>
      <c r="C45" s="3" t="s">
        <v>129</v>
      </c>
      <c r="AC45" s="3" t="s">
        <v>129</v>
      </c>
    </row>
    <row r="46" spans="1:35" s="3" customFormat="1" x14ac:dyDescent="0.25"/>
    <row r="48" spans="1:35" ht="30.75" thickBot="1" x14ac:dyDescent="0.3">
      <c r="A48" s="34" t="s">
        <v>331</v>
      </c>
      <c r="B48" s="4"/>
      <c r="C48" s="34" t="s">
        <v>332</v>
      </c>
      <c r="D48" s="4"/>
      <c r="E48" s="34" t="s">
        <v>333</v>
      </c>
      <c r="F48" s="4"/>
      <c r="G48" s="34" t="s">
        <v>334</v>
      </c>
      <c r="H48" s="35"/>
      <c r="I48" s="34" t="s">
        <v>335</v>
      </c>
      <c r="J48" s="4"/>
      <c r="K48" s="34" t="s">
        <v>336</v>
      </c>
      <c r="M48" s="34" t="s">
        <v>337</v>
      </c>
    </row>
    <row r="49" spans="1:13" x14ac:dyDescent="0.25">
      <c r="A49" s="3" t="s">
        <v>131</v>
      </c>
      <c r="C49" s="3" t="s">
        <v>74</v>
      </c>
      <c r="E49" s="56">
        <v>300</v>
      </c>
      <c r="F49" s="2"/>
      <c r="G49" s="56">
        <v>305</v>
      </c>
      <c r="H49" s="2"/>
      <c r="I49" s="56">
        <v>20000</v>
      </c>
      <c r="K49" s="3"/>
      <c r="M49" s="3"/>
    </row>
    <row r="50" spans="1:13" x14ac:dyDescent="0.25">
      <c r="A50" s="3" t="s">
        <v>338</v>
      </c>
      <c r="C50" s="3" t="s">
        <v>280</v>
      </c>
      <c r="E50" s="2"/>
      <c r="F50" s="2"/>
      <c r="G50" s="56"/>
      <c r="H50" s="2"/>
      <c r="I50" s="56">
        <v>26400</v>
      </c>
      <c r="K50" s="3"/>
    </row>
    <row r="51" spans="1:13" x14ac:dyDescent="0.25">
      <c r="A51" s="3" t="s">
        <v>85</v>
      </c>
      <c r="C51" s="3" t="s">
        <v>128</v>
      </c>
      <c r="G51" s="3"/>
      <c r="I51" s="3"/>
      <c r="K51" s="56">
        <v>5000</v>
      </c>
      <c r="L51" s="2"/>
      <c r="M51" s="56">
        <v>4500</v>
      </c>
    </row>
    <row r="52" spans="1:13" x14ac:dyDescent="0.25">
      <c r="A52" s="3" t="s">
        <v>339</v>
      </c>
      <c r="C52" s="3"/>
      <c r="G52" s="3"/>
      <c r="I52" s="3"/>
      <c r="K52" s="56">
        <v>5500</v>
      </c>
      <c r="L52" s="2"/>
      <c r="M52" s="56">
        <v>5000</v>
      </c>
    </row>
    <row r="53" spans="1:13" x14ac:dyDescent="0.25">
      <c r="G53" s="3"/>
      <c r="I53" s="3"/>
    </row>
    <row r="54" spans="1:13" ht="15.75" thickBot="1" x14ac:dyDescent="0.3">
      <c r="A54" s="54" t="s">
        <v>87</v>
      </c>
      <c r="C54" s="33" t="s">
        <v>340</v>
      </c>
      <c r="E54" s="39"/>
      <c r="G54" s="3"/>
      <c r="I54" s="3"/>
    </row>
    <row r="55" spans="1:13" x14ac:dyDescent="0.25">
      <c r="A55" s="3" t="s">
        <v>88</v>
      </c>
      <c r="B55" s="3"/>
      <c r="C55" s="3">
        <f>32*240</f>
        <v>7680</v>
      </c>
      <c r="G55" s="3"/>
      <c r="I55" s="3"/>
    </row>
    <row r="56" spans="1:13" x14ac:dyDescent="0.25">
      <c r="A56" s="3" t="s">
        <v>341</v>
      </c>
      <c r="B56" s="3"/>
      <c r="C56" s="3">
        <f>40*240</f>
        <v>9600</v>
      </c>
      <c r="G56" s="3"/>
      <c r="I56" s="3"/>
    </row>
    <row r="57" spans="1:13" x14ac:dyDescent="0.25">
      <c r="A57" s="3" t="s">
        <v>132</v>
      </c>
      <c r="B57" s="3"/>
      <c r="C57" s="3">
        <f>50*240</f>
        <v>12000</v>
      </c>
    </row>
    <row r="60" spans="1:13" ht="21" x14ac:dyDescent="0.35">
      <c r="A60" s="30" t="s">
        <v>342</v>
      </c>
    </row>
    <row r="61" spans="1:13" s="11" customFormat="1" ht="30.75" thickBot="1" x14ac:dyDescent="0.3">
      <c r="A61" s="34" t="s">
        <v>343</v>
      </c>
      <c r="B61" s="4"/>
      <c r="C61" s="34" t="s">
        <v>344</v>
      </c>
      <c r="D61" s="4"/>
      <c r="E61" s="34" t="s">
        <v>345</v>
      </c>
      <c r="F61" s="4"/>
      <c r="G61" s="34" t="s">
        <v>346</v>
      </c>
      <c r="H61" s="4"/>
      <c r="I61" s="35"/>
    </row>
    <row r="62" spans="1:13" x14ac:dyDescent="0.25">
      <c r="A62" s="3" t="s">
        <v>57</v>
      </c>
      <c r="B62" s="3"/>
      <c r="C62" s="3">
        <v>120</v>
      </c>
      <c r="E62" s="3">
        <v>80</v>
      </c>
      <c r="G62" s="3">
        <v>16</v>
      </c>
      <c r="I62" s="3"/>
    </row>
    <row r="63" spans="1:13" x14ac:dyDescent="0.25">
      <c r="A63" s="3" t="s">
        <v>68</v>
      </c>
      <c r="B63" s="3"/>
      <c r="C63" s="3">
        <v>240</v>
      </c>
      <c r="E63" s="3">
        <v>100</v>
      </c>
      <c r="G63" s="3">
        <v>20</v>
      </c>
      <c r="I63" s="3"/>
    </row>
    <row r="64" spans="1:13" x14ac:dyDescent="0.25">
      <c r="E64" s="3">
        <v>125</v>
      </c>
      <c r="G64" s="3">
        <v>24</v>
      </c>
      <c r="I64" s="3"/>
    </row>
    <row r="65" spans="1:9" x14ac:dyDescent="0.25">
      <c r="E65" s="3">
        <v>150</v>
      </c>
      <c r="G65" s="3">
        <v>28</v>
      </c>
      <c r="I65" s="3"/>
    </row>
    <row r="66" spans="1:9" x14ac:dyDescent="0.25">
      <c r="E66" s="3">
        <v>200</v>
      </c>
      <c r="G66" s="3">
        <v>30</v>
      </c>
      <c r="I66" s="3"/>
    </row>
    <row r="67" spans="1:9" x14ac:dyDescent="0.25">
      <c r="E67" s="3">
        <v>225</v>
      </c>
      <c r="G67" s="3">
        <v>32</v>
      </c>
      <c r="I67" s="3"/>
    </row>
    <row r="68" spans="1:9" x14ac:dyDescent="0.25">
      <c r="E68" s="3">
        <v>400</v>
      </c>
      <c r="G68" s="3">
        <v>36</v>
      </c>
      <c r="I68" s="3"/>
    </row>
    <row r="69" spans="1:9" x14ac:dyDescent="0.25">
      <c r="I69" s="3"/>
    </row>
    <row r="70" spans="1:9" x14ac:dyDescent="0.25">
      <c r="I70" s="3"/>
    </row>
    <row r="71" spans="1:9" x14ac:dyDescent="0.25">
      <c r="I71" s="3"/>
    </row>
    <row r="73" spans="1:9" x14ac:dyDescent="0.25">
      <c r="I73" s="40"/>
    </row>
    <row r="80" spans="1:9" ht="15.75" thickBot="1" x14ac:dyDescent="0.3">
      <c r="A80" s="54" t="s">
        <v>316</v>
      </c>
      <c r="C80" s="6"/>
    </row>
    <row r="81" spans="1:31" x14ac:dyDescent="0.25">
      <c r="A81" t="s">
        <v>63</v>
      </c>
    </row>
    <row r="82" spans="1:31" x14ac:dyDescent="0.25">
      <c r="A82" t="s">
        <v>347</v>
      </c>
    </row>
    <row r="83" spans="1:31" x14ac:dyDescent="0.25">
      <c r="A83" t="s">
        <v>290</v>
      </c>
    </row>
    <row r="86" spans="1:31" x14ac:dyDescent="0.25">
      <c r="I86" s="1" t="s">
        <v>348</v>
      </c>
      <c r="U86" s="1" t="s">
        <v>349</v>
      </c>
      <c r="W86" s="1" t="s">
        <v>350</v>
      </c>
      <c r="Y86" s="1" t="s">
        <v>350</v>
      </c>
      <c r="AA86" s="1" t="s">
        <v>350</v>
      </c>
    </row>
    <row r="87" spans="1:31" ht="15.75" thickBot="1" x14ac:dyDescent="0.3">
      <c r="A87" s="33" t="s">
        <v>351</v>
      </c>
      <c r="B87" s="3"/>
      <c r="C87" s="33" t="s">
        <v>352</v>
      </c>
      <c r="D87" s="3"/>
      <c r="E87" s="33" t="s">
        <v>353</v>
      </c>
      <c r="I87" s="54" t="s">
        <v>354</v>
      </c>
      <c r="S87" s="54" t="s">
        <v>355</v>
      </c>
      <c r="U87" s="54" t="s">
        <v>356</v>
      </c>
      <c r="W87" s="54" t="s">
        <v>357</v>
      </c>
      <c r="Y87" s="54" t="s">
        <v>358</v>
      </c>
      <c r="AA87" s="54" t="s">
        <v>359</v>
      </c>
      <c r="AC87" s="54" t="s">
        <v>360</v>
      </c>
    </row>
    <row r="88" spans="1:31" x14ac:dyDescent="0.25">
      <c r="A88" s="3" t="s">
        <v>22</v>
      </c>
      <c r="C88" s="3">
        <v>3</v>
      </c>
      <c r="E88" s="3">
        <v>3</v>
      </c>
      <c r="K88" t="s">
        <v>361</v>
      </c>
      <c r="O88" t="s">
        <v>362</v>
      </c>
      <c r="S88" s="3">
        <f>IF(LEFT('Property Information'!$D$23,4)="Befo",1,IF(LEFT('Property Information'!$D$23,4)="1976",2,3))</f>
        <v>1</v>
      </c>
      <c r="U88" s="87" cm="1">
        <f t="array" ref="U88">INDEX($K$90:$M$104,$S$88+$S$92,1)*'Property Information'!$D$24^2+INDEX($K$90:$M$104,$S$88+$S$92,2)*'Property Information'!$D$24+INDEX($K$90:$M$104,$S$88+$S$92,3)</f>
        <v>14.320499999999999</v>
      </c>
      <c r="W88">
        <f>(1+ROUND(2*'Property Information'!$D$24*Reference!$U$88/12000,0))/2</f>
        <v>2.5</v>
      </c>
      <c r="Y88" s="88">
        <f>1000*U88*0.000293*'Property Information'!$D$24</f>
        <v>6293.8597500000005</v>
      </c>
      <c r="AA88">
        <f>1920*ROUNDUP($Y$88/1920,0)</f>
        <v>7680</v>
      </c>
      <c r="AC88">
        <f>W88*8*240</f>
        <v>4800</v>
      </c>
    </row>
    <row r="89" spans="1:31" x14ac:dyDescent="0.25">
      <c r="A89" s="3" t="s">
        <v>363</v>
      </c>
      <c r="C89" s="3">
        <v>16</v>
      </c>
      <c r="E89" s="3">
        <v>16</v>
      </c>
      <c r="K89" s="19" t="s">
        <v>364</v>
      </c>
      <c r="L89" s="19" t="s">
        <v>365</v>
      </c>
      <c r="M89" t="s">
        <v>366</v>
      </c>
      <c r="O89" s="19" t="s">
        <v>364</v>
      </c>
      <c r="P89" s="19" t="s">
        <v>365</v>
      </c>
      <c r="Q89" t="s">
        <v>366</v>
      </c>
      <c r="AA89" s="1" t="s">
        <v>367</v>
      </c>
    </row>
    <row r="90" spans="1:31" x14ac:dyDescent="0.25">
      <c r="A90" s="3" t="s">
        <v>368</v>
      </c>
      <c r="C90" s="3">
        <v>12</v>
      </c>
      <c r="E90" s="3">
        <v>12</v>
      </c>
      <c r="I90">
        <v>1960</v>
      </c>
      <c r="K90">
        <v>2.03E-6</v>
      </c>
      <c r="L90">
        <v>-1.17E-2</v>
      </c>
      <c r="M90">
        <v>27.303000000000001</v>
      </c>
      <c r="O90">
        <v>2.43E-6</v>
      </c>
      <c r="P90">
        <v>-1.2699999999999999E-2</v>
      </c>
      <c r="Q90">
        <v>23.73</v>
      </c>
      <c r="U90" s="1" t="s">
        <v>349</v>
      </c>
      <c r="W90" s="1" t="s">
        <v>350</v>
      </c>
    </row>
    <row r="91" spans="1:31" ht="15.75" thickBot="1" x14ac:dyDescent="0.3">
      <c r="A91" s="3" t="s">
        <v>369</v>
      </c>
      <c r="C91" s="3">
        <v>11</v>
      </c>
      <c r="E91" s="3">
        <v>16</v>
      </c>
      <c r="I91">
        <v>1985</v>
      </c>
      <c r="K91">
        <v>1.5799999999999999E-6</v>
      </c>
      <c r="L91">
        <v>-8.8000000000000005E-3</v>
      </c>
      <c r="M91">
        <v>20.279</v>
      </c>
      <c r="O91">
        <v>2.3E-6</v>
      </c>
      <c r="P91">
        <v>-1.189E-2</v>
      </c>
      <c r="Q91">
        <v>21.49</v>
      </c>
      <c r="S91" s="54" t="s">
        <v>370</v>
      </c>
      <c r="U91" s="54" t="s">
        <v>371</v>
      </c>
      <c r="W91" s="54" t="s">
        <v>372</v>
      </c>
      <c r="Y91" s="6"/>
      <c r="AA91" s="33" t="s">
        <v>373</v>
      </c>
      <c r="AE91" s="33" t="s">
        <v>374</v>
      </c>
    </row>
    <row r="92" spans="1:31" x14ac:dyDescent="0.25">
      <c r="A92" s="3" t="s">
        <v>375</v>
      </c>
      <c r="C92" s="3">
        <v>12</v>
      </c>
      <c r="E92" s="3">
        <v>12</v>
      </c>
      <c r="I92">
        <v>2005</v>
      </c>
      <c r="K92">
        <v>1.3400000000000001E-6</v>
      </c>
      <c r="L92">
        <v>-7.5339999999999999E-3</v>
      </c>
      <c r="M92">
        <v>17.402000000000001</v>
      </c>
      <c r="O92">
        <v>2.1900000000000002E-6</v>
      </c>
      <c r="P92">
        <v>-1.125E-2</v>
      </c>
      <c r="Q92">
        <v>19.837</v>
      </c>
      <c r="S92" s="3">
        <f>IF(INDEX($A$88:$E$144,MATCH('Property Information'!$D$18,$A$88:$A$144),5)=3,0,IF(INDEX($A$88:$E$144,MATCH('Property Information'!$D$18,$A$88:$A$144),5)=9,4,IF(INDEX($A$88:$E$144,MATCH('Property Information'!$D$18,$A$88:$A$144),5)=12,8,12)))</f>
        <v>0</v>
      </c>
      <c r="U92" s="87" cm="1">
        <f t="array" ref="U92">INDEX($O$90:$Q$104,$S$88+$S$92,1)*'Property Information'!$D$24^2+INDEX($O$90:$Q$104,$S$88+$S$92,2)*'Property Information'!$D$24+INDEX($O$90:$Q$104,$S$88+$S$92,3)</f>
        <v>10.147500000000001</v>
      </c>
      <c r="W92">
        <f>(1+ROUND(2*'Property Information'!$D$24*Reference!$U$92/12000,0))/2</f>
        <v>2</v>
      </c>
      <c r="AA92">
        <f>W92*8.5*240</f>
        <v>4080</v>
      </c>
      <c r="AE92">
        <f>W92*7.25*240</f>
        <v>3480</v>
      </c>
    </row>
    <row r="93" spans="1:31" ht="15.75" thickBot="1" x14ac:dyDescent="0.3">
      <c r="A93" s="3" t="s">
        <v>376</v>
      </c>
      <c r="C93" s="3">
        <v>11</v>
      </c>
      <c r="E93" s="3">
        <v>16</v>
      </c>
      <c r="I93" s="54" t="s">
        <v>377</v>
      </c>
      <c r="S93" s="1" t="s">
        <v>378</v>
      </c>
    </row>
    <row r="94" spans="1:31" x14ac:dyDescent="0.25">
      <c r="A94" s="3" t="s">
        <v>379</v>
      </c>
      <c r="C94" s="3">
        <v>3</v>
      </c>
      <c r="E94" s="3">
        <v>3</v>
      </c>
      <c r="I94">
        <v>1960</v>
      </c>
      <c r="K94">
        <v>2.2199999999999999E-6</v>
      </c>
      <c r="L94">
        <v>-1.2809050000000001E-2</v>
      </c>
      <c r="M94">
        <v>30.01719469</v>
      </c>
      <c r="O94">
        <v>2.74E-6</v>
      </c>
      <c r="P94">
        <v>-1.4659989999999999E-2</v>
      </c>
      <c r="Q94">
        <v>27.813071730000001</v>
      </c>
      <c r="S94" s="1" t="s">
        <v>380</v>
      </c>
    </row>
    <row r="95" spans="1:31" x14ac:dyDescent="0.25">
      <c r="A95" s="3" t="s">
        <v>381</v>
      </c>
      <c r="C95" s="3">
        <v>1</v>
      </c>
      <c r="E95" s="3">
        <v>3</v>
      </c>
      <c r="I95">
        <v>1985</v>
      </c>
      <c r="K95">
        <v>1.73E-6</v>
      </c>
      <c r="L95">
        <v>-9.67902E-3</v>
      </c>
      <c r="M95">
        <v>22.312438279999999</v>
      </c>
      <c r="O95">
        <v>2.4600000000000002E-6</v>
      </c>
      <c r="P95">
        <v>-1.2830670000000001E-2</v>
      </c>
      <c r="Q95">
        <v>23.31485898</v>
      </c>
    </row>
    <row r="96" spans="1:31" x14ac:dyDescent="0.25">
      <c r="A96" s="3" t="s">
        <v>382</v>
      </c>
      <c r="C96" s="3">
        <v>12</v>
      </c>
      <c r="E96" s="3">
        <v>12</v>
      </c>
      <c r="I96">
        <v>2005</v>
      </c>
      <c r="K96">
        <v>1.48E-6</v>
      </c>
      <c r="L96">
        <v>-8.2915599999999999E-3</v>
      </c>
      <c r="M96">
        <v>19.173017380000001</v>
      </c>
      <c r="O96">
        <v>2.3700000000000002E-6</v>
      </c>
      <c r="P96">
        <v>-1.2128079999999999E-2</v>
      </c>
      <c r="Q96">
        <v>21.183205090000001</v>
      </c>
      <c r="U96" s="6" t="s">
        <v>383</v>
      </c>
    </row>
    <row r="97" spans="1:31" ht="15.75" thickBot="1" x14ac:dyDescent="0.3">
      <c r="A97" s="3" t="s">
        <v>384</v>
      </c>
      <c r="C97" s="3">
        <v>13</v>
      </c>
      <c r="E97" s="3">
        <v>12</v>
      </c>
      <c r="I97" s="54" t="s">
        <v>385</v>
      </c>
      <c r="U97" s="1" t="s">
        <v>349</v>
      </c>
      <c r="W97" s="1" t="s">
        <v>350</v>
      </c>
      <c r="Y97" s="1" t="s">
        <v>350</v>
      </c>
      <c r="AA97" s="1" t="s">
        <v>350</v>
      </c>
    </row>
    <row r="98" spans="1:31" ht="15.75" thickBot="1" x14ac:dyDescent="0.3">
      <c r="A98" s="3" t="s">
        <v>386</v>
      </c>
      <c r="C98" s="3">
        <v>16</v>
      </c>
      <c r="E98" s="3">
        <v>16</v>
      </c>
      <c r="I98">
        <v>1960</v>
      </c>
      <c r="K98">
        <v>2.61E-6</v>
      </c>
      <c r="L98">
        <v>-1.5002690000000001E-2</v>
      </c>
      <c r="M98">
        <v>35.103819690000002</v>
      </c>
      <c r="O98">
        <v>2.9299999999999999E-6</v>
      </c>
      <c r="P98">
        <v>-1.600116E-2</v>
      </c>
      <c r="Q98">
        <v>31.467200800000001</v>
      </c>
      <c r="U98" s="54" t="s">
        <v>356</v>
      </c>
      <c r="W98" s="54" t="s">
        <v>357</v>
      </c>
      <c r="Y98" s="54" t="s">
        <v>358</v>
      </c>
      <c r="AA98" s="54" t="s">
        <v>359</v>
      </c>
      <c r="AC98" s="54" t="s">
        <v>360</v>
      </c>
    </row>
    <row r="99" spans="1:31" x14ac:dyDescent="0.25">
      <c r="A99" s="3" t="s">
        <v>387</v>
      </c>
      <c r="C99" s="3">
        <v>1</v>
      </c>
      <c r="E99" s="3">
        <v>3</v>
      </c>
      <c r="I99">
        <v>1985</v>
      </c>
      <c r="K99">
        <v>2.03E-6</v>
      </c>
      <c r="L99">
        <v>-1.132099E-2</v>
      </c>
      <c r="M99">
        <v>26.067477060000002</v>
      </c>
      <c r="O99">
        <v>2.5900000000000002E-6</v>
      </c>
      <c r="P99">
        <v>-1.377572E-2</v>
      </c>
      <c r="Q99">
        <v>25.888092700000001</v>
      </c>
      <c r="U99" s="87" cm="1">
        <f t="array" ref="U99">IF(S88&lt;3,INDEX($K$90:$M$104,$S$88+$S$92+1,1)*'Property Information'!$D$24^2+INDEX($K$90:$M$104,$S$88+$S$92+1,2)*'Property Information'!$D$24+INDEX($K$90:$M$104,$S$88+$S$92+1,3),U88*0.9)</f>
        <v>10.633999999999999</v>
      </c>
      <c r="W99">
        <f>(1+ROUND(2*'Property Information'!$D$24*Reference!$U$99/12000,0))/2</f>
        <v>2</v>
      </c>
      <c r="Y99" s="88">
        <f>1000*U99*0.000293*'Property Information'!$D$24</f>
        <v>4673.6429999999991</v>
      </c>
      <c r="AA99">
        <f>1920*ROUNDUP($Y$99/1920,0)</f>
        <v>5760</v>
      </c>
      <c r="AC99">
        <f>W99*8*240</f>
        <v>3840</v>
      </c>
    </row>
    <row r="100" spans="1:31" x14ac:dyDescent="0.25">
      <c r="A100" s="3" t="s">
        <v>388</v>
      </c>
      <c r="C100" s="3">
        <v>15</v>
      </c>
      <c r="E100" s="3">
        <v>9</v>
      </c>
      <c r="I100">
        <v>2005</v>
      </c>
      <c r="K100">
        <v>1.73E-6</v>
      </c>
      <c r="L100">
        <v>-9.6810799999999999E-3</v>
      </c>
      <c r="M100">
        <v>22.369116120000001</v>
      </c>
      <c r="O100">
        <v>2.3999999999999999E-6</v>
      </c>
      <c r="P100">
        <v>-1.2651330000000001E-2</v>
      </c>
      <c r="Q100">
        <v>23.1660556</v>
      </c>
      <c r="AA100" s="1" t="s">
        <v>367</v>
      </c>
    </row>
    <row r="101" spans="1:31" ht="15.75" thickBot="1" x14ac:dyDescent="0.3">
      <c r="A101" s="3" t="s">
        <v>389</v>
      </c>
      <c r="C101" s="3">
        <v>16</v>
      </c>
      <c r="E101" s="3">
        <v>16</v>
      </c>
      <c r="I101" s="54" t="s">
        <v>390</v>
      </c>
    </row>
    <row r="102" spans="1:31" x14ac:dyDescent="0.25">
      <c r="A102" s="3" t="s">
        <v>391</v>
      </c>
      <c r="C102" s="3">
        <v>13</v>
      </c>
      <c r="E102" s="3">
        <v>12</v>
      </c>
      <c r="I102">
        <v>1960</v>
      </c>
      <c r="K102">
        <v>3.1499999999999999E-6</v>
      </c>
      <c r="L102">
        <v>-1.8267800000000001E-2</v>
      </c>
      <c r="M102">
        <v>43.123086389999997</v>
      </c>
      <c r="O102">
        <v>2.3099999999999999E-6</v>
      </c>
      <c r="P102">
        <v>-1.2159949999999999E-2</v>
      </c>
      <c r="Q102">
        <v>22.829893519999999</v>
      </c>
      <c r="U102" s="1" t="s">
        <v>349</v>
      </c>
      <c r="W102" s="1" t="s">
        <v>350</v>
      </c>
    </row>
    <row r="103" spans="1:31" ht="15.75" thickBot="1" x14ac:dyDescent="0.3">
      <c r="A103" s="3" t="s">
        <v>392</v>
      </c>
      <c r="C103" s="3">
        <v>13</v>
      </c>
      <c r="E103" s="3">
        <v>12</v>
      </c>
      <c r="I103">
        <v>1985</v>
      </c>
      <c r="K103">
        <v>2.4700000000000001E-6</v>
      </c>
      <c r="L103">
        <v>-1.3883879999999999E-2</v>
      </c>
      <c r="M103">
        <v>32.196462330000003</v>
      </c>
      <c r="O103">
        <v>2.2199999999999999E-6</v>
      </c>
      <c r="P103">
        <v>-1.1526120000000001E-2</v>
      </c>
      <c r="Q103">
        <v>20.86376125</v>
      </c>
      <c r="U103" s="54" t="s">
        <v>371</v>
      </c>
      <c r="W103" s="54" t="s">
        <v>372</v>
      </c>
      <c r="Y103" s="6"/>
      <c r="AC103" s="54" t="s">
        <v>393</v>
      </c>
    </row>
    <row r="104" spans="1:31" x14ac:dyDescent="0.25">
      <c r="A104" s="3" t="s">
        <v>394</v>
      </c>
      <c r="C104" s="3">
        <v>2</v>
      </c>
      <c r="E104" s="3">
        <v>3</v>
      </c>
      <c r="I104">
        <v>2005</v>
      </c>
      <c r="K104">
        <v>2.1299999999999999E-6</v>
      </c>
      <c r="L104">
        <v>-1.200332E-2</v>
      </c>
      <c r="M104">
        <v>27.849008699999999</v>
      </c>
      <c r="O104">
        <v>2.1500000000000002E-6</v>
      </c>
      <c r="P104">
        <v>-1.103325E-2</v>
      </c>
      <c r="Q104">
        <v>19.444117930000001</v>
      </c>
      <c r="U104" s="87" cm="1">
        <f t="array" ref="U104">IF(S88&lt;3,INDEX($O$90:$Q$104,$S$88+$S$92+1,1)*'Property Information'!$D$24^2+INDEX($O$90:$Q$104,$S$88+$S$92+1,2)*'Property Information'!$D$24+INDEX($O$90:$Q$104,$S$88+$S$92+1,3),U92*0.9)</f>
        <v>8.8299999999999983</v>
      </c>
      <c r="W104">
        <f>(1+ROUND(2*'Property Information'!$D$24*Reference!$U$104/12000,0))/2</f>
        <v>1.5</v>
      </c>
      <c r="AC104">
        <f>W104*7.25*240</f>
        <v>2610</v>
      </c>
    </row>
    <row r="105" spans="1:31" x14ac:dyDescent="0.25">
      <c r="A105" s="3" t="s">
        <v>395</v>
      </c>
      <c r="C105" s="3">
        <v>16</v>
      </c>
      <c r="E105" s="3">
        <v>16</v>
      </c>
    </row>
    <row r="106" spans="1:31" x14ac:dyDescent="0.25">
      <c r="A106" s="3" t="s">
        <v>396</v>
      </c>
      <c r="C106" s="3">
        <v>9</v>
      </c>
      <c r="E106" s="3">
        <v>9</v>
      </c>
    </row>
    <row r="107" spans="1:31" ht="15.75" thickBot="1" x14ac:dyDescent="0.3">
      <c r="A107" s="3" t="s">
        <v>397</v>
      </c>
      <c r="C107" s="3">
        <v>13</v>
      </c>
      <c r="E107" s="3">
        <v>12</v>
      </c>
      <c r="U107" s="5" t="s">
        <v>398</v>
      </c>
      <c r="V107" s="5"/>
      <c r="W107" s="5"/>
      <c r="X107" s="5"/>
      <c r="Y107" s="5"/>
      <c r="AA107" s="5" t="s">
        <v>399</v>
      </c>
      <c r="AB107" s="5"/>
      <c r="AC107" s="5"/>
      <c r="AD107" s="5"/>
      <c r="AE107" s="5"/>
    </row>
    <row r="108" spans="1:31" x14ac:dyDescent="0.25">
      <c r="A108" s="3" t="s">
        <v>400</v>
      </c>
      <c r="C108" s="3">
        <v>3</v>
      </c>
      <c r="E108" s="3">
        <v>3</v>
      </c>
      <c r="U108" t="s">
        <v>401</v>
      </c>
      <c r="W108" t="s">
        <v>402</v>
      </c>
      <c r="AA108" t="s">
        <v>403</v>
      </c>
      <c r="AC108" t="s">
        <v>404</v>
      </c>
    </row>
    <row r="109" spans="1:31" x14ac:dyDescent="0.25">
      <c r="A109" s="3" t="s">
        <v>405</v>
      </c>
      <c r="C109" s="3">
        <v>12</v>
      </c>
      <c r="E109" s="3">
        <v>12</v>
      </c>
      <c r="U109">
        <v>2</v>
      </c>
      <c r="W109">
        <v>13.4</v>
      </c>
      <c r="Y109">
        <f>W109/U109</f>
        <v>6.7</v>
      </c>
      <c r="AA109">
        <v>1.5</v>
      </c>
      <c r="AC109">
        <v>14.6</v>
      </c>
      <c r="AE109">
        <f>AC109/AA109</f>
        <v>9.7333333333333325</v>
      </c>
    </row>
    <row r="110" spans="1:31" x14ac:dyDescent="0.25">
      <c r="A110" s="3" t="s">
        <v>406</v>
      </c>
      <c r="C110" s="3">
        <v>1</v>
      </c>
      <c r="E110" s="3">
        <v>3</v>
      </c>
      <c r="U110">
        <v>3</v>
      </c>
      <c r="W110">
        <v>18.399999999999999</v>
      </c>
      <c r="Y110">
        <f t="shared" ref="Y110:Y112" si="0">W110/U110</f>
        <v>6.1333333333333329</v>
      </c>
      <c r="AA110">
        <v>2</v>
      </c>
      <c r="AC110">
        <v>18.8</v>
      </c>
      <c r="AE110">
        <f t="shared" ref="AE110:AE115" si="1">AC110/AA110</f>
        <v>9.4</v>
      </c>
    </row>
    <row r="111" spans="1:31" x14ac:dyDescent="0.25">
      <c r="A111" s="3" t="s">
        <v>407</v>
      </c>
      <c r="C111" s="3">
        <v>12</v>
      </c>
      <c r="E111" s="3">
        <v>12</v>
      </c>
      <c r="U111">
        <v>4</v>
      </c>
      <c r="W111">
        <v>28</v>
      </c>
      <c r="Y111">
        <f t="shared" si="0"/>
        <v>7</v>
      </c>
      <c r="AA111">
        <v>2.5</v>
      </c>
      <c r="AC111">
        <v>23.9</v>
      </c>
      <c r="AE111">
        <f t="shared" si="1"/>
        <v>9.5599999999999987</v>
      </c>
    </row>
    <row r="112" spans="1:31" x14ac:dyDescent="0.25">
      <c r="A112" s="3" t="s">
        <v>408</v>
      </c>
      <c r="C112" s="3">
        <v>16</v>
      </c>
      <c r="E112" s="3">
        <v>16</v>
      </c>
      <c r="U112">
        <v>5</v>
      </c>
      <c r="W112">
        <v>35</v>
      </c>
      <c r="Y112">
        <f t="shared" si="0"/>
        <v>7</v>
      </c>
      <c r="AA112">
        <v>3</v>
      </c>
      <c r="AC112">
        <v>23.9</v>
      </c>
      <c r="AE112">
        <f t="shared" si="1"/>
        <v>7.9666666666666659</v>
      </c>
    </row>
    <row r="113" spans="1:31" x14ac:dyDescent="0.25">
      <c r="A113" s="3" t="s">
        <v>409</v>
      </c>
      <c r="C113" s="3">
        <v>16</v>
      </c>
      <c r="E113" s="3">
        <v>16</v>
      </c>
      <c r="AA113">
        <v>3.5</v>
      </c>
      <c r="AC113">
        <v>34.4</v>
      </c>
      <c r="AE113">
        <f t="shared" si="1"/>
        <v>9.8285714285714274</v>
      </c>
    </row>
    <row r="114" spans="1:31" x14ac:dyDescent="0.25">
      <c r="A114" s="3" t="s">
        <v>410</v>
      </c>
      <c r="C114" s="3">
        <v>3</v>
      </c>
      <c r="E114" s="3">
        <v>3</v>
      </c>
      <c r="U114" t="s">
        <v>411</v>
      </c>
      <c r="W114" t="s">
        <v>412</v>
      </c>
      <c r="AA114">
        <v>4</v>
      </c>
      <c r="AC114">
        <v>34.4</v>
      </c>
      <c r="AE114">
        <f t="shared" si="1"/>
        <v>8.6</v>
      </c>
    </row>
    <row r="115" spans="1:31" x14ac:dyDescent="0.25">
      <c r="A115" s="3" t="s">
        <v>413</v>
      </c>
      <c r="C115" s="3">
        <v>2</v>
      </c>
      <c r="E115" s="3">
        <v>3</v>
      </c>
      <c r="U115">
        <v>1.5</v>
      </c>
      <c r="W115">
        <v>14.6</v>
      </c>
      <c r="Y115">
        <f>W115/U115</f>
        <v>9.7333333333333325</v>
      </c>
      <c r="AA115">
        <v>5</v>
      </c>
      <c r="AC115">
        <v>36.200000000000003</v>
      </c>
      <c r="AE115">
        <f t="shared" si="1"/>
        <v>7.24</v>
      </c>
    </row>
    <row r="116" spans="1:31" x14ac:dyDescent="0.25">
      <c r="A116" s="3" t="s">
        <v>414</v>
      </c>
      <c r="C116" s="3">
        <v>11</v>
      </c>
      <c r="E116" s="3">
        <v>16</v>
      </c>
      <c r="U116">
        <v>2</v>
      </c>
      <c r="W116">
        <v>18.8</v>
      </c>
      <c r="Y116">
        <f t="shared" ref="Y116:Y121" si="2">W116/U116</f>
        <v>9.4</v>
      </c>
    </row>
    <row r="117" spans="1:31" x14ac:dyDescent="0.25">
      <c r="A117" s="3" t="s">
        <v>415</v>
      </c>
      <c r="C117" s="3">
        <v>6</v>
      </c>
      <c r="E117" s="3">
        <v>3</v>
      </c>
      <c r="U117">
        <v>2.5</v>
      </c>
      <c r="W117">
        <v>23.9</v>
      </c>
      <c r="Y117">
        <f t="shared" si="2"/>
        <v>9.5599999999999987</v>
      </c>
    </row>
    <row r="118" spans="1:31" x14ac:dyDescent="0.25">
      <c r="A118" s="3" t="s">
        <v>416</v>
      </c>
      <c r="C118" s="3">
        <v>11</v>
      </c>
      <c r="E118" s="3">
        <v>16</v>
      </c>
      <c r="U118">
        <v>3</v>
      </c>
      <c r="W118">
        <v>23.9</v>
      </c>
      <c r="Y118">
        <f t="shared" si="2"/>
        <v>7.9666666666666659</v>
      </c>
      <c r="AA118" t="s">
        <v>417</v>
      </c>
      <c r="AC118" t="s">
        <v>418</v>
      </c>
      <c r="AE118" t="s">
        <v>419</v>
      </c>
    </row>
    <row r="119" spans="1:31" x14ac:dyDescent="0.25">
      <c r="A119" s="3" t="s">
        <v>420</v>
      </c>
      <c r="C119" s="3">
        <v>16</v>
      </c>
      <c r="E119" s="3">
        <v>16</v>
      </c>
      <c r="U119">
        <v>3.5</v>
      </c>
      <c r="W119">
        <v>34.4</v>
      </c>
      <c r="Y119">
        <f t="shared" si="2"/>
        <v>9.8285714285714274</v>
      </c>
      <c r="AA119">
        <v>2</v>
      </c>
      <c r="AC119">
        <v>15</v>
      </c>
      <c r="AE119">
        <f t="shared" ref="AE119:AE122" si="3">AC119/AA119</f>
        <v>7.5</v>
      </c>
    </row>
    <row r="120" spans="1:31" x14ac:dyDescent="0.25">
      <c r="A120" s="3" t="s">
        <v>421</v>
      </c>
      <c r="C120" s="3">
        <v>10</v>
      </c>
      <c r="E120" s="3">
        <v>12</v>
      </c>
      <c r="U120">
        <v>4</v>
      </c>
      <c r="W120">
        <v>34.4</v>
      </c>
      <c r="Y120">
        <f t="shared" si="2"/>
        <v>8.6</v>
      </c>
      <c r="AA120">
        <v>3</v>
      </c>
      <c r="AC120">
        <v>21</v>
      </c>
      <c r="AE120">
        <f t="shared" si="3"/>
        <v>7</v>
      </c>
    </row>
    <row r="121" spans="1:31" x14ac:dyDescent="0.25">
      <c r="A121" s="3" t="s">
        <v>422</v>
      </c>
      <c r="C121" s="3">
        <v>12</v>
      </c>
      <c r="E121" s="3">
        <v>12</v>
      </c>
      <c r="U121">
        <v>5</v>
      </c>
      <c r="W121">
        <v>36.200000000000003</v>
      </c>
      <c r="Y121">
        <f t="shared" si="2"/>
        <v>7.24</v>
      </c>
      <c r="AA121">
        <v>4</v>
      </c>
      <c r="AC121">
        <v>28</v>
      </c>
      <c r="AE121">
        <f t="shared" si="3"/>
        <v>7</v>
      </c>
    </row>
    <row r="122" spans="1:31" x14ac:dyDescent="0.25">
      <c r="A122" s="3" t="s">
        <v>423</v>
      </c>
      <c r="C122" s="3">
        <v>10</v>
      </c>
      <c r="E122" s="3">
        <v>12</v>
      </c>
      <c r="AA122">
        <v>5</v>
      </c>
      <c r="AC122">
        <v>37</v>
      </c>
      <c r="AE122">
        <f t="shared" si="3"/>
        <v>7.4</v>
      </c>
    </row>
    <row r="123" spans="1:31" x14ac:dyDescent="0.25">
      <c r="A123" s="3" t="s">
        <v>424</v>
      </c>
      <c r="C123" s="3">
        <v>7</v>
      </c>
      <c r="E123" s="3">
        <v>3</v>
      </c>
      <c r="U123" t="s">
        <v>411</v>
      </c>
      <c r="W123" t="s">
        <v>425</v>
      </c>
    </row>
    <row r="124" spans="1:31" x14ac:dyDescent="0.25">
      <c r="A124" s="3" t="s">
        <v>426</v>
      </c>
      <c r="C124" s="3">
        <v>3</v>
      </c>
      <c r="E124" s="3">
        <v>3</v>
      </c>
      <c r="U124">
        <v>1.5</v>
      </c>
      <c r="W124">
        <v>11.9</v>
      </c>
      <c r="Y124">
        <f>W124/U124</f>
        <v>7.9333333333333336</v>
      </c>
      <c r="AA124" t="s">
        <v>417</v>
      </c>
      <c r="AC124" t="s">
        <v>427</v>
      </c>
      <c r="AE124" t="s">
        <v>428</v>
      </c>
    </row>
    <row r="125" spans="1:31" x14ac:dyDescent="0.25">
      <c r="A125" s="3" t="s">
        <v>429</v>
      </c>
      <c r="C125" s="3">
        <v>12</v>
      </c>
      <c r="E125" s="3">
        <v>12</v>
      </c>
      <c r="U125">
        <v>2</v>
      </c>
      <c r="W125">
        <v>15.3</v>
      </c>
      <c r="Y125">
        <f t="shared" ref="Y125:Y130" si="4">W125/U125</f>
        <v>7.65</v>
      </c>
      <c r="AA125">
        <v>2</v>
      </c>
      <c r="AC125">
        <v>15</v>
      </c>
      <c r="AE125">
        <f t="shared" ref="AE125:AE128" si="5">AC125/AA125</f>
        <v>7.5</v>
      </c>
    </row>
    <row r="126" spans="1:31" x14ac:dyDescent="0.25">
      <c r="A126" s="3" t="s">
        <v>430</v>
      </c>
      <c r="C126" s="3">
        <v>3</v>
      </c>
      <c r="E126" s="3">
        <v>3</v>
      </c>
      <c r="U126">
        <v>2.5</v>
      </c>
      <c r="W126">
        <v>17</v>
      </c>
      <c r="Y126">
        <f t="shared" si="4"/>
        <v>6.8</v>
      </c>
      <c r="AA126">
        <v>3</v>
      </c>
      <c r="AC126">
        <v>22</v>
      </c>
      <c r="AE126">
        <f t="shared" si="5"/>
        <v>7.333333333333333</v>
      </c>
    </row>
    <row r="127" spans="1:31" x14ac:dyDescent="0.25">
      <c r="A127" s="3" t="s">
        <v>431</v>
      </c>
      <c r="C127" s="3">
        <v>3</v>
      </c>
      <c r="E127" s="3">
        <v>3</v>
      </c>
      <c r="U127">
        <v>3</v>
      </c>
      <c r="W127">
        <v>18.600000000000001</v>
      </c>
      <c r="Y127">
        <f t="shared" si="4"/>
        <v>6.2</v>
      </c>
      <c r="AA127">
        <v>4</v>
      </c>
      <c r="AC127">
        <v>28</v>
      </c>
      <c r="AE127">
        <f t="shared" si="5"/>
        <v>7</v>
      </c>
    </row>
    <row r="128" spans="1:31" x14ac:dyDescent="0.25">
      <c r="A128" s="3" t="s">
        <v>432</v>
      </c>
      <c r="C128" s="3">
        <v>5</v>
      </c>
      <c r="E128" s="3">
        <v>3</v>
      </c>
      <c r="U128">
        <v>3.5</v>
      </c>
      <c r="W128">
        <v>23.4</v>
      </c>
      <c r="Y128">
        <f t="shared" si="4"/>
        <v>6.6857142857142851</v>
      </c>
      <c r="AA128">
        <v>5</v>
      </c>
      <c r="AC128">
        <v>41</v>
      </c>
      <c r="AE128">
        <f t="shared" si="5"/>
        <v>8.1999999999999993</v>
      </c>
    </row>
    <row r="129" spans="1:25" x14ac:dyDescent="0.25">
      <c r="A129" s="3" t="s">
        <v>433</v>
      </c>
      <c r="C129" s="3">
        <v>4</v>
      </c>
      <c r="E129" s="3">
        <v>3</v>
      </c>
      <c r="U129">
        <v>4</v>
      </c>
      <c r="W129">
        <v>26.2</v>
      </c>
      <c r="Y129">
        <f t="shared" si="4"/>
        <v>6.55</v>
      </c>
    </row>
    <row r="130" spans="1:25" x14ac:dyDescent="0.25">
      <c r="A130" s="3" t="s">
        <v>434</v>
      </c>
      <c r="C130" s="3">
        <v>3</v>
      </c>
      <c r="E130" s="3">
        <v>3</v>
      </c>
      <c r="U130">
        <v>5</v>
      </c>
      <c r="W130">
        <v>32.4</v>
      </c>
      <c r="Y130">
        <f t="shared" si="4"/>
        <v>6.4799999999999995</v>
      </c>
    </row>
    <row r="131" spans="1:25" x14ac:dyDescent="0.25">
      <c r="A131" s="3" t="s">
        <v>435</v>
      </c>
      <c r="C131" s="3">
        <v>11</v>
      </c>
      <c r="E131" s="3">
        <v>16</v>
      </c>
    </row>
    <row r="132" spans="1:25" x14ac:dyDescent="0.25">
      <c r="A132" s="3" t="s">
        <v>436</v>
      </c>
      <c r="C132" s="3">
        <v>16</v>
      </c>
      <c r="E132" s="3">
        <v>16</v>
      </c>
      <c r="U132" t="s">
        <v>437</v>
      </c>
      <c r="V132" t="s">
        <v>438</v>
      </c>
    </row>
    <row r="133" spans="1:25" x14ac:dyDescent="0.25">
      <c r="A133" s="3" t="s">
        <v>439</v>
      </c>
      <c r="C133" s="3">
        <v>16</v>
      </c>
      <c r="E133" s="3">
        <v>16</v>
      </c>
      <c r="U133">
        <v>2</v>
      </c>
      <c r="W133">
        <v>15.2</v>
      </c>
      <c r="Y133">
        <f t="shared" ref="Y133:Y136" si="6">W133/U133</f>
        <v>7.6</v>
      </c>
    </row>
    <row r="134" spans="1:25" x14ac:dyDescent="0.25">
      <c r="A134" s="3" t="s">
        <v>440</v>
      </c>
      <c r="C134" s="3">
        <v>12</v>
      </c>
      <c r="E134" s="3">
        <v>12</v>
      </c>
      <c r="U134">
        <v>3</v>
      </c>
      <c r="W134">
        <v>20.6</v>
      </c>
      <c r="Y134">
        <f t="shared" si="6"/>
        <v>6.8666666666666671</v>
      </c>
    </row>
    <row r="135" spans="1:25" x14ac:dyDescent="0.25">
      <c r="A135" s="3" t="s">
        <v>441</v>
      </c>
      <c r="C135" s="3">
        <v>1</v>
      </c>
      <c r="E135" s="3">
        <v>3</v>
      </c>
      <c r="U135">
        <v>4</v>
      </c>
      <c r="W135">
        <v>30.1</v>
      </c>
      <c r="Y135">
        <f t="shared" si="6"/>
        <v>7.5250000000000004</v>
      </c>
    </row>
    <row r="136" spans="1:25" x14ac:dyDescent="0.25">
      <c r="A136" s="3" t="s">
        <v>442</v>
      </c>
      <c r="C136" s="3">
        <v>12</v>
      </c>
      <c r="E136" s="3">
        <v>12</v>
      </c>
      <c r="U136">
        <v>5</v>
      </c>
      <c r="W136">
        <v>31.1</v>
      </c>
      <c r="Y136">
        <f t="shared" si="6"/>
        <v>6.2200000000000006</v>
      </c>
    </row>
    <row r="137" spans="1:25" x14ac:dyDescent="0.25">
      <c r="A137" s="3" t="s">
        <v>443</v>
      </c>
      <c r="C137" s="3">
        <v>11</v>
      </c>
      <c r="E137" s="3">
        <v>16</v>
      </c>
    </row>
    <row r="138" spans="1:25" x14ac:dyDescent="0.25">
      <c r="A138" s="3" t="s">
        <v>444</v>
      </c>
      <c r="C138" s="3">
        <v>11</v>
      </c>
      <c r="E138" s="3">
        <v>16</v>
      </c>
      <c r="U138" t="s">
        <v>437</v>
      </c>
      <c r="V138" t="s">
        <v>445</v>
      </c>
    </row>
    <row r="139" spans="1:25" x14ac:dyDescent="0.25">
      <c r="A139" s="3" t="s">
        <v>446</v>
      </c>
      <c r="C139" s="3">
        <v>2</v>
      </c>
      <c r="E139" s="3">
        <v>3</v>
      </c>
      <c r="U139">
        <v>1.5</v>
      </c>
      <c r="W139">
        <v>8.3000000000000007</v>
      </c>
      <c r="Y139">
        <f t="shared" ref="Y139:Y145" si="7">W139/U139</f>
        <v>5.5333333333333341</v>
      </c>
    </row>
    <row r="140" spans="1:25" x14ac:dyDescent="0.25">
      <c r="A140" s="3" t="s">
        <v>447</v>
      </c>
      <c r="C140" s="3">
        <v>13</v>
      </c>
      <c r="E140" s="3">
        <v>12</v>
      </c>
      <c r="U140">
        <v>2</v>
      </c>
      <c r="W140">
        <v>11.2</v>
      </c>
      <c r="Y140">
        <f t="shared" si="7"/>
        <v>5.6</v>
      </c>
    </row>
    <row r="141" spans="1:25" x14ac:dyDescent="0.25">
      <c r="A141" s="3" t="s">
        <v>448</v>
      </c>
      <c r="C141" s="3">
        <v>12</v>
      </c>
      <c r="E141" s="3">
        <v>12</v>
      </c>
      <c r="U141">
        <v>2.5</v>
      </c>
      <c r="W141">
        <v>16.100000000000001</v>
      </c>
      <c r="Y141">
        <f t="shared" si="7"/>
        <v>6.44</v>
      </c>
    </row>
    <row r="142" spans="1:25" x14ac:dyDescent="0.25">
      <c r="A142" s="3" t="s">
        <v>449</v>
      </c>
      <c r="C142" s="3">
        <v>16</v>
      </c>
      <c r="E142" s="3">
        <v>16</v>
      </c>
      <c r="U142">
        <v>3</v>
      </c>
      <c r="W142">
        <v>18.600000000000001</v>
      </c>
      <c r="Y142">
        <f t="shared" si="7"/>
        <v>6.2</v>
      </c>
    </row>
    <row r="143" spans="1:25" x14ac:dyDescent="0.25">
      <c r="A143" s="3" t="s">
        <v>450</v>
      </c>
      <c r="C143" s="3">
        <v>12</v>
      </c>
      <c r="E143" s="3">
        <v>12</v>
      </c>
      <c r="U143">
        <v>3.5</v>
      </c>
      <c r="W143">
        <v>23.1</v>
      </c>
      <c r="Y143">
        <f t="shared" si="7"/>
        <v>6.6000000000000005</v>
      </c>
    </row>
    <row r="144" spans="1:25" x14ac:dyDescent="0.25">
      <c r="A144" s="3" t="s">
        <v>451</v>
      </c>
      <c r="C144" s="3">
        <v>11</v>
      </c>
      <c r="E144" s="3">
        <v>16</v>
      </c>
      <c r="U144">
        <v>4</v>
      </c>
      <c r="W144">
        <v>24.4</v>
      </c>
      <c r="Y144">
        <f t="shared" si="7"/>
        <v>6.1</v>
      </c>
    </row>
    <row r="145" spans="21:25" x14ac:dyDescent="0.25">
      <c r="U145">
        <v>5</v>
      </c>
      <c r="W145">
        <v>33.299999999999997</v>
      </c>
      <c r="Y145">
        <f t="shared" si="7"/>
        <v>6.6599999999999993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731B7-8DD8-4738-BD52-F2E2AF2A7FE1}">
  <dimension ref="B2:E5"/>
  <sheetViews>
    <sheetView workbookViewId="0">
      <selection activeCell="C16" sqref="C16"/>
    </sheetView>
  </sheetViews>
  <sheetFormatPr defaultRowHeight="15" x14ac:dyDescent="0.25"/>
  <cols>
    <col min="2" max="2" width="13.140625" customWidth="1"/>
    <col min="3" max="3" width="75" customWidth="1"/>
    <col min="4" max="4" width="43.28515625" customWidth="1"/>
    <col min="5" max="5" width="12.42578125" customWidth="1"/>
  </cols>
  <sheetData>
    <row r="2" spans="2:5" ht="21" x14ac:dyDescent="0.35">
      <c r="B2" s="230" t="s">
        <v>772</v>
      </c>
      <c r="C2" s="230"/>
      <c r="D2" s="230"/>
      <c r="E2" s="230"/>
    </row>
    <row r="3" spans="2:5" x14ac:dyDescent="0.25">
      <c r="B3" t="s">
        <v>773</v>
      </c>
      <c r="C3" t="s">
        <v>47</v>
      </c>
      <c r="D3" t="s">
        <v>774</v>
      </c>
      <c r="E3" t="s">
        <v>775</v>
      </c>
    </row>
    <row r="4" spans="2:5" ht="45" x14ac:dyDescent="0.25">
      <c r="B4" s="229">
        <v>46036</v>
      </c>
      <c r="C4" s="11" t="s">
        <v>776</v>
      </c>
      <c r="D4" t="s">
        <v>777</v>
      </c>
      <c r="E4" t="s">
        <v>778</v>
      </c>
    </row>
    <row r="5" spans="2:5" x14ac:dyDescent="0.25">
      <c r="B5" s="229">
        <v>46045</v>
      </c>
      <c r="C5" s="11" t="s">
        <v>783</v>
      </c>
      <c r="D5" t="s">
        <v>782</v>
      </c>
      <c r="E5" t="s">
        <v>781</v>
      </c>
    </row>
  </sheetData>
  <mergeCells count="1">
    <mergeCell ref="B2:E2"/>
  </mergeCells>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67366-6F07-4D87-8343-522B5F658721}">
  <dimension ref="A1:AE65"/>
  <sheetViews>
    <sheetView workbookViewId="0">
      <selection activeCell="F40" sqref="F40:F43"/>
    </sheetView>
  </sheetViews>
  <sheetFormatPr defaultRowHeight="15" x14ac:dyDescent="0.25"/>
  <cols>
    <col min="1" max="1" width="17.140625" customWidth="1"/>
    <col min="2" max="2" width="2.5703125" customWidth="1"/>
    <col min="3" max="3" width="17.140625" customWidth="1"/>
    <col min="4" max="4" width="2" customWidth="1"/>
    <col min="5" max="5" width="17.140625" customWidth="1"/>
    <col min="6" max="6" width="2.140625" customWidth="1"/>
    <col min="7" max="7" width="17.140625" customWidth="1"/>
    <col min="8" max="8" width="2.28515625" customWidth="1"/>
    <col min="9" max="9" width="17.140625" customWidth="1"/>
    <col min="10" max="10" width="2" customWidth="1"/>
    <col min="11" max="11" width="17.140625" customWidth="1"/>
    <col min="12" max="12" width="2.28515625" customWidth="1"/>
    <col min="13" max="13" width="17.140625" customWidth="1"/>
    <col min="14" max="14" width="2.28515625" customWidth="1"/>
    <col min="15" max="15" width="17.140625" customWidth="1"/>
    <col min="16" max="16" width="2.140625" customWidth="1"/>
    <col min="17" max="17" width="17.140625" customWidth="1"/>
    <col min="18" max="18" width="2.28515625" customWidth="1"/>
    <col min="19" max="19" width="17.140625" customWidth="1"/>
    <col min="20" max="20" width="2.28515625" customWidth="1"/>
    <col min="21" max="21" width="17.140625" customWidth="1"/>
    <col min="22" max="22" width="2.28515625" customWidth="1"/>
    <col min="23" max="23" width="17.140625" customWidth="1"/>
    <col min="24" max="24" width="2.28515625" customWidth="1"/>
    <col min="25" max="25" width="17.140625" customWidth="1"/>
    <col min="26" max="26" width="2.28515625" customWidth="1"/>
    <col min="27" max="27" width="17.140625" customWidth="1"/>
    <col min="28" max="28" width="2.28515625" customWidth="1"/>
    <col min="29" max="29" width="17.140625" customWidth="1"/>
    <col min="30" max="30" width="2.28515625" customWidth="1"/>
    <col min="31" max="31" width="17.140625" customWidth="1"/>
    <col min="32" max="32" width="2.28515625" customWidth="1"/>
    <col min="33" max="33" width="17.140625" customWidth="1"/>
    <col min="34" max="34" width="2.28515625" customWidth="1"/>
    <col min="35" max="35" width="17.140625" customWidth="1"/>
    <col min="36" max="36" width="2.28515625" customWidth="1"/>
    <col min="37" max="37" width="17.140625" customWidth="1"/>
    <col min="38" max="38" width="2.28515625" customWidth="1"/>
    <col min="39" max="39" width="17.140625" customWidth="1"/>
    <col min="40" max="40" width="2.28515625" customWidth="1"/>
    <col min="41" max="41" width="17.140625" customWidth="1"/>
    <col min="42" max="42" width="2.28515625" customWidth="1"/>
  </cols>
  <sheetData>
    <row r="1" spans="1:31" ht="21" x14ac:dyDescent="0.35">
      <c r="A1" s="30" t="s">
        <v>452</v>
      </c>
    </row>
    <row r="4" spans="1:31" x14ac:dyDescent="0.25">
      <c r="A4" s="7" t="s">
        <v>453</v>
      </c>
    </row>
    <row r="5" spans="1:31" x14ac:dyDescent="0.25">
      <c r="G5" s="19"/>
      <c r="I5" s="19" t="s">
        <v>275</v>
      </c>
      <c r="Q5" s="19" t="s">
        <v>275</v>
      </c>
      <c r="U5" s="31"/>
    </row>
    <row r="6" spans="1:31" ht="30.75" thickBot="1" x14ac:dyDescent="0.3">
      <c r="A6" s="34" t="s">
        <v>276</v>
      </c>
      <c r="B6" s="4"/>
      <c r="C6" s="34" t="s">
        <v>277</v>
      </c>
      <c r="D6" s="4"/>
      <c r="E6" s="35"/>
      <c r="G6" s="35"/>
      <c r="I6" s="34" t="s">
        <v>454</v>
      </c>
      <c r="M6" s="34" t="s">
        <v>282</v>
      </c>
      <c r="N6" s="4"/>
      <c r="O6" s="35"/>
      <c r="Q6" s="33" t="s">
        <v>455</v>
      </c>
      <c r="U6" s="54" t="s">
        <v>65</v>
      </c>
      <c r="W6" s="54" t="s">
        <v>285</v>
      </c>
      <c r="Y6" s="54" t="s">
        <v>69</v>
      </c>
      <c r="AA6" s="54" t="s">
        <v>287</v>
      </c>
      <c r="AC6" s="54" t="s">
        <v>456</v>
      </c>
      <c r="AE6" s="54" t="s">
        <v>287</v>
      </c>
    </row>
    <row r="7" spans="1:31" x14ac:dyDescent="0.25">
      <c r="A7" t="s">
        <v>59</v>
      </c>
      <c r="C7" t="s">
        <v>128</v>
      </c>
      <c r="E7" s="3"/>
      <c r="G7" s="58"/>
      <c r="I7" s="65">
        <f>Reference!W88*860</f>
        <v>2150</v>
      </c>
      <c r="M7" t="s">
        <v>59</v>
      </c>
      <c r="O7" s="3"/>
      <c r="Q7" s="3">
        <v>860</v>
      </c>
      <c r="U7" t="s">
        <v>66</v>
      </c>
      <c r="W7" s="3">
        <v>500</v>
      </c>
      <c r="Y7" t="s">
        <v>69</v>
      </c>
      <c r="AA7" s="3">
        <f>Reference!$I$26*0.75</f>
        <v>5760</v>
      </c>
      <c r="AC7" t="s">
        <v>185</v>
      </c>
      <c r="AE7" s="3">
        <v>0</v>
      </c>
    </row>
    <row r="8" spans="1:31" x14ac:dyDescent="0.25">
      <c r="A8" t="s">
        <v>288</v>
      </c>
      <c r="E8" s="3"/>
      <c r="I8" s="3"/>
      <c r="M8" t="s">
        <v>289</v>
      </c>
      <c r="U8" t="s">
        <v>185</v>
      </c>
      <c r="W8" s="3">
        <v>0</v>
      </c>
      <c r="Y8" t="s">
        <v>185</v>
      </c>
      <c r="AC8" t="s">
        <v>457</v>
      </c>
      <c r="AE8" s="3">
        <f>Reference!$I$26*0.75*(3/4)</f>
        <v>4320</v>
      </c>
    </row>
    <row r="9" spans="1:31" x14ac:dyDescent="0.25">
      <c r="A9" t="s">
        <v>458</v>
      </c>
      <c r="E9" s="3"/>
      <c r="I9" s="3"/>
      <c r="M9" t="s">
        <v>458</v>
      </c>
      <c r="AC9" t="s">
        <v>459</v>
      </c>
      <c r="AE9" s="3">
        <f>Reference!$I$26*0.75*(2/4)</f>
        <v>2880</v>
      </c>
    </row>
    <row r="10" spans="1:31" x14ac:dyDescent="0.25">
      <c r="A10" t="s">
        <v>290</v>
      </c>
      <c r="C10" s="3"/>
      <c r="E10" s="3"/>
      <c r="I10" s="3"/>
      <c r="M10" t="s">
        <v>460</v>
      </c>
      <c r="AC10" t="s">
        <v>461</v>
      </c>
      <c r="AE10" s="3">
        <f>Reference!$I$26*0.75*(1/4)</f>
        <v>1440</v>
      </c>
    </row>
    <row r="11" spans="1:31" ht="60" x14ac:dyDescent="0.25">
      <c r="C11" s="3"/>
      <c r="E11" s="3"/>
      <c r="G11" s="1"/>
      <c r="I11" s="40" t="s">
        <v>462</v>
      </c>
      <c r="O11" s="39"/>
      <c r="Q11" s="40" t="s">
        <v>462</v>
      </c>
      <c r="AA11" s="39" t="s">
        <v>295</v>
      </c>
      <c r="AE11" s="39"/>
    </row>
    <row r="12" spans="1:31" x14ac:dyDescent="0.25">
      <c r="A12" s="1"/>
      <c r="E12" s="3"/>
      <c r="G12" s="1"/>
      <c r="I12" s="1"/>
    </row>
    <row r="13" spans="1:31" x14ac:dyDescent="0.25">
      <c r="E13" s="3"/>
      <c r="I13" s="57"/>
    </row>
    <row r="14" spans="1:31" x14ac:dyDescent="0.25">
      <c r="E14" s="3"/>
    </row>
    <row r="16" spans="1:31" ht="30.75" thickBot="1" x14ac:dyDescent="0.3">
      <c r="A16" s="34" t="s">
        <v>296</v>
      </c>
      <c r="B16" s="4"/>
      <c r="C16" s="34" t="s">
        <v>463</v>
      </c>
      <c r="E16" s="34" t="s">
        <v>298</v>
      </c>
      <c r="F16" s="4"/>
      <c r="G16" s="34" t="s">
        <v>299</v>
      </c>
      <c r="H16" s="4"/>
      <c r="I16" s="34" t="s">
        <v>300</v>
      </c>
      <c r="K16" s="54" t="s">
        <v>302</v>
      </c>
      <c r="M16" s="54" t="s">
        <v>303</v>
      </c>
    </row>
    <row r="17" spans="1:27" x14ac:dyDescent="0.25">
      <c r="A17" t="s">
        <v>72</v>
      </c>
      <c r="C17" s="3">
        <v>480</v>
      </c>
      <c r="E17" t="s">
        <v>72</v>
      </c>
      <c r="G17" s="3" t="s">
        <v>280</v>
      </c>
      <c r="K17" s="3">
        <f>30*0.8*240</f>
        <v>5760</v>
      </c>
      <c r="M17" s="64">
        <v>4000</v>
      </c>
    </row>
    <row r="18" spans="1:27" x14ac:dyDescent="0.25">
      <c r="A18" t="s">
        <v>304</v>
      </c>
      <c r="E18" t="s">
        <v>304</v>
      </c>
      <c r="G18" t="s">
        <v>128</v>
      </c>
    </row>
    <row r="19" spans="1:27" x14ac:dyDescent="0.25">
      <c r="A19" t="s">
        <v>305</v>
      </c>
      <c r="E19" t="s">
        <v>305</v>
      </c>
    </row>
    <row r="22" spans="1:27" x14ac:dyDescent="0.25">
      <c r="A22" s="6" t="s">
        <v>306</v>
      </c>
      <c r="I22" s="6" t="s">
        <v>307</v>
      </c>
      <c r="O22" s="6" t="s">
        <v>308</v>
      </c>
      <c r="U22" s="6" t="s">
        <v>309</v>
      </c>
    </row>
    <row r="23" spans="1:27" s="4" customFormat="1" ht="30.75" thickBot="1" x14ac:dyDescent="0.3">
      <c r="A23" s="34" t="s">
        <v>310</v>
      </c>
      <c r="C23" s="34" t="s">
        <v>311</v>
      </c>
      <c r="E23" s="34" t="s">
        <v>313</v>
      </c>
      <c r="G23" s="34" t="s">
        <v>314</v>
      </c>
      <c r="I23" s="34" t="s">
        <v>315</v>
      </c>
      <c r="K23" s="34" t="s">
        <v>316</v>
      </c>
      <c r="M23" s="34" t="s">
        <v>318</v>
      </c>
      <c r="O23" s="34" t="s">
        <v>315</v>
      </c>
      <c r="Q23" s="34" t="s">
        <v>316</v>
      </c>
      <c r="S23" s="34" t="s">
        <v>320</v>
      </c>
      <c r="U23" s="34" t="s">
        <v>321</v>
      </c>
      <c r="W23" s="34" t="s">
        <v>316</v>
      </c>
      <c r="Y23" s="34" t="s">
        <v>323</v>
      </c>
      <c r="AA23" s="34" t="s">
        <v>324</v>
      </c>
    </row>
    <row r="24" spans="1:27" s="3" customFormat="1" x14ac:dyDescent="0.25">
      <c r="A24" s="3" t="s">
        <v>325</v>
      </c>
      <c r="C24" s="3" t="s">
        <v>280</v>
      </c>
      <c r="E24" s="3">
        <v>4800</v>
      </c>
      <c r="G24" s="3">
        <v>4800</v>
      </c>
      <c r="I24" s="3" t="s">
        <v>326</v>
      </c>
      <c r="K24" s="3" t="s">
        <v>280</v>
      </c>
      <c r="M24" s="3">
        <v>4800</v>
      </c>
      <c r="O24" s="3" t="s">
        <v>327</v>
      </c>
      <c r="Q24" s="3" t="s">
        <v>280</v>
      </c>
      <c r="S24" s="3">
        <v>8000</v>
      </c>
      <c r="U24" s="3" t="s">
        <v>328</v>
      </c>
      <c r="W24" s="3" t="s">
        <v>280</v>
      </c>
      <c r="Y24" s="3">
        <v>3600</v>
      </c>
      <c r="AA24" s="3">
        <v>3600</v>
      </c>
    </row>
    <row r="25" spans="1:27" s="3" customFormat="1" x14ac:dyDescent="0.25">
      <c r="A25" s="3" t="s">
        <v>77</v>
      </c>
      <c r="C25" s="3" t="s">
        <v>129</v>
      </c>
      <c r="U25" s="3" t="s">
        <v>329</v>
      </c>
      <c r="W25" s="3" t="s">
        <v>129</v>
      </c>
    </row>
    <row r="26" spans="1:27" s="3" customFormat="1" x14ac:dyDescent="0.25">
      <c r="A26" s="3" t="s">
        <v>330</v>
      </c>
    </row>
    <row r="27" spans="1:27" s="3" customFormat="1" x14ac:dyDescent="0.25"/>
    <row r="29" spans="1:27" ht="30.75" thickBot="1" x14ac:dyDescent="0.3">
      <c r="A29" s="34" t="s">
        <v>331</v>
      </c>
      <c r="B29" s="4"/>
      <c r="C29" s="34" t="s">
        <v>332</v>
      </c>
      <c r="D29" s="4"/>
      <c r="E29" s="34" t="s">
        <v>335</v>
      </c>
      <c r="F29" s="4"/>
      <c r="G29" s="34" t="s">
        <v>336</v>
      </c>
      <c r="I29" s="34" t="s">
        <v>337</v>
      </c>
    </row>
    <row r="30" spans="1:27" x14ac:dyDescent="0.25">
      <c r="A30" s="3" t="s">
        <v>131</v>
      </c>
      <c r="C30" s="3" t="s">
        <v>280</v>
      </c>
      <c r="E30" s="56">
        <v>20000</v>
      </c>
      <c r="G30" s="3"/>
      <c r="I30" s="3"/>
    </row>
    <row r="31" spans="1:27" x14ac:dyDescent="0.25">
      <c r="A31" s="3" t="s">
        <v>338</v>
      </c>
      <c r="C31" s="3" t="s">
        <v>128</v>
      </c>
      <c r="E31" s="56">
        <v>26400</v>
      </c>
      <c r="G31" s="3"/>
    </row>
    <row r="32" spans="1:27" x14ac:dyDescent="0.25">
      <c r="A32" s="3" t="s">
        <v>85</v>
      </c>
      <c r="C32" s="3" t="s">
        <v>185</v>
      </c>
      <c r="E32" s="3"/>
      <c r="G32" s="56">
        <v>5000</v>
      </c>
      <c r="H32" s="2"/>
      <c r="I32" s="56">
        <v>4500</v>
      </c>
    </row>
    <row r="33" spans="1:9" x14ac:dyDescent="0.25">
      <c r="A33" s="3" t="s">
        <v>339</v>
      </c>
      <c r="C33" s="3"/>
      <c r="E33" s="3"/>
      <c r="G33" s="56">
        <v>5500</v>
      </c>
      <c r="H33" s="2"/>
      <c r="I33" s="56">
        <v>5000</v>
      </c>
    </row>
    <row r="34" spans="1:9" x14ac:dyDescent="0.25">
      <c r="A34" s="3" t="s">
        <v>464</v>
      </c>
      <c r="C34" s="3"/>
      <c r="E34" s="3"/>
      <c r="G34" s="56"/>
      <c r="H34" s="2"/>
      <c r="I34" s="56"/>
    </row>
    <row r="35" spans="1:9" x14ac:dyDescent="0.25">
      <c r="G35" s="3"/>
      <c r="I35" s="3"/>
    </row>
    <row r="36" spans="1:9" ht="15.75" thickBot="1" x14ac:dyDescent="0.3">
      <c r="A36" s="54" t="s">
        <v>87</v>
      </c>
      <c r="C36" s="33" t="s">
        <v>340</v>
      </c>
      <c r="E36" s="39"/>
      <c r="G36" s="3"/>
      <c r="I36" s="3"/>
    </row>
    <row r="37" spans="1:9" x14ac:dyDescent="0.25">
      <c r="A37" s="3" t="s">
        <v>88</v>
      </c>
      <c r="B37" s="3"/>
      <c r="C37" s="3">
        <f>32*240</f>
        <v>7680</v>
      </c>
      <c r="G37" s="3"/>
      <c r="I37" s="3"/>
    </row>
    <row r="38" spans="1:9" x14ac:dyDescent="0.25">
      <c r="A38" s="3" t="s">
        <v>341</v>
      </c>
      <c r="B38" s="3"/>
      <c r="C38" s="3">
        <f>40*240</f>
        <v>9600</v>
      </c>
      <c r="G38" s="3"/>
      <c r="I38" s="3"/>
    </row>
    <row r="39" spans="1:9" x14ac:dyDescent="0.25">
      <c r="A39" s="3" t="s">
        <v>132</v>
      </c>
      <c r="B39" s="3"/>
      <c r="C39" s="3">
        <f>50*240</f>
        <v>12000</v>
      </c>
    </row>
    <row r="42" spans="1:9" ht="21" x14ac:dyDescent="0.35">
      <c r="A42" s="30" t="s">
        <v>342</v>
      </c>
    </row>
    <row r="43" spans="1:9" s="11" customFormat="1" ht="30.75" thickBot="1" x14ac:dyDescent="0.3">
      <c r="A43" s="34" t="s">
        <v>343</v>
      </c>
      <c r="B43" s="4"/>
      <c r="C43" s="34" t="s">
        <v>465</v>
      </c>
      <c r="D43" s="4"/>
      <c r="E43" s="34" t="s">
        <v>344</v>
      </c>
      <c r="F43" s="4"/>
      <c r="G43" s="35"/>
    </row>
    <row r="44" spans="1:9" x14ac:dyDescent="0.25">
      <c r="A44" s="3" t="s">
        <v>57</v>
      </c>
      <c r="B44" s="3"/>
      <c r="C44" s="3">
        <v>2</v>
      </c>
      <c r="E44" s="3">
        <v>120</v>
      </c>
      <c r="G44" s="3"/>
    </row>
    <row r="45" spans="1:9" x14ac:dyDescent="0.25">
      <c r="A45" s="3" t="s">
        <v>68</v>
      </c>
      <c r="B45" s="3"/>
      <c r="C45" s="3">
        <v>3</v>
      </c>
      <c r="E45" s="3">
        <v>240</v>
      </c>
      <c r="G45" s="3"/>
    </row>
    <row r="46" spans="1:9" x14ac:dyDescent="0.25">
      <c r="C46" s="3">
        <v>4</v>
      </c>
      <c r="G46" s="3"/>
    </row>
    <row r="47" spans="1:9" x14ac:dyDescent="0.25">
      <c r="C47" s="3">
        <v>5</v>
      </c>
      <c r="G47" s="3"/>
    </row>
    <row r="48" spans="1:9" x14ac:dyDescent="0.25">
      <c r="C48" s="3">
        <v>6</v>
      </c>
      <c r="G48" s="3"/>
    </row>
    <row r="49" spans="1:9" x14ac:dyDescent="0.25">
      <c r="C49" s="3">
        <v>7</v>
      </c>
      <c r="G49" s="3"/>
    </row>
    <row r="50" spans="1:9" x14ac:dyDescent="0.25">
      <c r="C50" s="3">
        <v>8</v>
      </c>
      <c r="G50" s="3"/>
    </row>
    <row r="51" spans="1:9" x14ac:dyDescent="0.25">
      <c r="I51" s="3"/>
    </row>
    <row r="52" spans="1:9" x14ac:dyDescent="0.25">
      <c r="I52" s="3"/>
    </row>
    <row r="53" spans="1:9" x14ac:dyDescent="0.25">
      <c r="I53" s="3"/>
    </row>
    <row r="55" spans="1:9" x14ac:dyDescent="0.25">
      <c r="I55" s="40"/>
    </row>
    <row r="59" spans="1:9" x14ac:dyDescent="0.25">
      <c r="A59" t="s">
        <v>466</v>
      </c>
    </row>
    <row r="62" spans="1:9" ht="15.75" thickBot="1" x14ac:dyDescent="0.3">
      <c r="A62" s="54" t="s">
        <v>467</v>
      </c>
      <c r="C62" s="54" t="s">
        <v>468</v>
      </c>
    </row>
    <row r="63" spans="1:9" x14ac:dyDescent="0.25">
      <c r="A63" t="s">
        <v>87</v>
      </c>
    </row>
    <row r="64" spans="1:9" x14ac:dyDescent="0.25">
      <c r="A64" t="s">
        <v>223</v>
      </c>
    </row>
    <row r="65" spans="1:1" x14ac:dyDescent="0.25">
      <c r="A65" t="s">
        <v>469</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E401E-9F32-4CC4-8BA3-831901484BCD}">
  <dimension ref="A1:AA52"/>
  <sheetViews>
    <sheetView workbookViewId="0">
      <selection activeCell="F40" sqref="F40:F43"/>
    </sheetView>
  </sheetViews>
  <sheetFormatPr defaultRowHeight="15" x14ac:dyDescent="0.25"/>
  <cols>
    <col min="1" max="1" width="17.140625" customWidth="1"/>
    <col min="2" max="2" width="2.5703125" customWidth="1"/>
    <col min="3" max="3" width="17.140625" customWidth="1"/>
    <col min="4" max="4" width="2" customWidth="1"/>
    <col min="5" max="5" width="17.140625" customWidth="1"/>
    <col min="6" max="6" width="2.140625" customWidth="1"/>
    <col min="7" max="7" width="17.140625" customWidth="1"/>
    <col min="8" max="8" width="2.28515625" customWidth="1"/>
    <col min="9" max="9" width="17.140625" customWidth="1"/>
    <col min="10" max="10" width="2" customWidth="1"/>
    <col min="11" max="11" width="17.140625" customWidth="1"/>
    <col min="12" max="12" width="2.28515625" customWidth="1"/>
    <col min="13" max="13" width="17.140625" customWidth="1"/>
    <col min="14" max="14" width="2.28515625" customWidth="1"/>
    <col min="15" max="15" width="17.140625" customWidth="1"/>
    <col min="16" max="16" width="2.140625" customWidth="1"/>
    <col min="17" max="17" width="17.140625" customWidth="1"/>
    <col min="18" max="18" width="2.28515625" customWidth="1"/>
    <col min="19" max="19" width="17.140625" customWidth="1"/>
    <col min="20" max="20" width="2.28515625" customWidth="1"/>
    <col min="21" max="21" width="17.140625" customWidth="1"/>
    <col min="22" max="22" width="2.28515625" customWidth="1"/>
    <col min="23" max="23" width="17.140625" customWidth="1"/>
    <col min="24" max="24" width="2.28515625" customWidth="1"/>
    <col min="25" max="25" width="17.140625" customWidth="1"/>
    <col min="26" max="26" width="2.28515625" customWidth="1"/>
    <col min="27" max="27" width="17.140625" customWidth="1"/>
    <col min="28" max="28" width="2.28515625" customWidth="1"/>
    <col min="29" max="29" width="17.140625" customWidth="1"/>
    <col min="30" max="30" width="2.28515625" customWidth="1"/>
    <col min="31" max="31" width="17.140625" customWidth="1"/>
    <col min="32" max="32" width="2.28515625" customWidth="1"/>
    <col min="33" max="33" width="17.140625" customWidth="1"/>
    <col min="34" max="34" width="2.28515625" customWidth="1"/>
    <col min="35" max="35" width="17.140625" customWidth="1"/>
    <col min="36" max="36" width="2.28515625" customWidth="1"/>
    <col min="37" max="37" width="17.140625" customWidth="1"/>
    <col min="38" max="38" width="2.28515625" customWidth="1"/>
    <col min="39" max="39" width="17.140625" customWidth="1"/>
    <col min="40" max="40" width="2.28515625" customWidth="1"/>
    <col min="41" max="41" width="17.140625" customWidth="1"/>
    <col min="42" max="42" width="2.28515625" customWidth="1"/>
  </cols>
  <sheetData>
    <row r="1" spans="1:19" ht="21" x14ac:dyDescent="0.35">
      <c r="A1" s="30" t="s">
        <v>452</v>
      </c>
    </row>
    <row r="4" spans="1:19" x14ac:dyDescent="0.25">
      <c r="A4" s="7" t="s">
        <v>453</v>
      </c>
    </row>
    <row r="5" spans="1:19" x14ac:dyDescent="0.25">
      <c r="E5" t="s">
        <v>274</v>
      </c>
      <c r="I5" s="19" t="s">
        <v>470</v>
      </c>
      <c r="K5" s="19" t="s">
        <v>275</v>
      </c>
      <c r="Q5" t="s">
        <v>274</v>
      </c>
      <c r="S5" s="19" t="s">
        <v>275</v>
      </c>
    </row>
    <row r="6" spans="1:19" ht="30.75" thickBot="1" x14ac:dyDescent="0.3">
      <c r="A6" s="34" t="s">
        <v>276</v>
      </c>
      <c r="B6" s="4"/>
      <c r="C6" s="34" t="s">
        <v>277</v>
      </c>
      <c r="D6" s="4"/>
      <c r="E6" s="34" t="s">
        <v>278</v>
      </c>
      <c r="G6" s="54" t="s">
        <v>471</v>
      </c>
      <c r="I6" s="34" t="s">
        <v>472</v>
      </c>
      <c r="K6" s="34" t="s">
        <v>473</v>
      </c>
      <c r="O6" s="34" t="s">
        <v>282</v>
      </c>
      <c r="P6" s="4"/>
      <c r="Q6" s="34" t="s">
        <v>283</v>
      </c>
      <c r="S6" s="33" t="s">
        <v>455</v>
      </c>
    </row>
    <row r="7" spans="1:19" x14ac:dyDescent="0.25">
      <c r="A7" t="s">
        <v>59</v>
      </c>
      <c r="C7" s="3" t="s">
        <v>280</v>
      </c>
      <c r="E7" s="3">
        <v>35</v>
      </c>
      <c r="G7" s="3">
        <v>2</v>
      </c>
      <c r="I7" s="58">
        <v>10</v>
      </c>
      <c r="K7" s="58">
        <v>710</v>
      </c>
      <c r="O7" t="s">
        <v>474</v>
      </c>
      <c r="Q7" s="3">
        <v>25</v>
      </c>
      <c r="S7" s="3">
        <v>710</v>
      </c>
    </row>
    <row r="8" spans="1:19" x14ac:dyDescent="0.25">
      <c r="A8" t="s">
        <v>288</v>
      </c>
      <c r="C8" t="s">
        <v>128</v>
      </c>
      <c r="E8" s="3"/>
      <c r="G8" s="3">
        <v>2.5</v>
      </c>
      <c r="K8" s="3"/>
      <c r="O8" t="s">
        <v>289</v>
      </c>
    </row>
    <row r="9" spans="1:19" x14ac:dyDescent="0.25">
      <c r="A9" t="s">
        <v>458</v>
      </c>
      <c r="E9" s="3"/>
      <c r="G9" s="3">
        <v>3</v>
      </c>
      <c r="K9" s="3"/>
      <c r="O9" t="s">
        <v>458</v>
      </c>
    </row>
    <row r="10" spans="1:19" x14ac:dyDescent="0.25">
      <c r="A10" t="s">
        <v>290</v>
      </c>
      <c r="C10" s="3"/>
      <c r="E10" s="3"/>
      <c r="G10" s="3">
        <v>3.5</v>
      </c>
      <c r="K10" s="3"/>
      <c r="O10" t="s">
        <v>460</v>
      </c>
    </row>
    <row r="11" spans="1:19" x14ac:dyDescent="0.25">
      <c r="C11" s="3"/>
      <c r="E11" s="3"/>
      <c r="G11" s="3">
        <v>4</v>
      </c>
      <c r="I11" s="1"/>
      <c r="K11" s="40"/>
      <c r="Q11" s="39"/>
      <c r="S11" s="40"/>
    </row>
    <row r="12" spans="1:19" x14ac:dyDescent="0.25">
      <c r="A12" s="1"/>
      <c r="E12" s="3"/>
      <c r="G12" s="3">
        <v>5</v>
      </c>
      <c r="I12" s="1"/>
      <c r="K12" s="1"/>
    </row>
    <row r="13" spans="1:19" x14ac:dyDescent="0.25">
      <c r="E13" s="3"/>
      <c r="K13" s="1"/>
    </row>
    <row r="14" spans="1:19" x14ac:dyDescent="0.25">
      <c r="E14" s="3"/>
      <c r="K14" s="57"/>
    </row>
    <row r="16" spans="1:19" ht="30.75" thickBot="1" x14ac:dyDescent="0.3">
      <c r="A16" s="34" t="s">
        <v>298</v>
      </c>
      <c r="B16" s="4"/>
      <c r="C16" s="34" t="s">
        <v>299</v>
      </c>
      <c r="D16" s="4"/>
      <c r="E16" s="54" t="s">
        <v>303</v>
      </c>
    </row>
    <row r="17" spans="1:27" x14ac:dyDescent="0.25">
      <c r="A17" s="115" t="s">
        <v>475</v>
      </c>
      <c r="C17" t="s">
        <v>128</v>
      </c>
      <c r="E17" s="113">
        <v>4000</v>
      </c>
      <c r="G17" s="1" t="s">
        <v>476</v>
      </c>
      <c r="M17" t="s">
        <v>477</v>
      </c>
    </row>
    <row r="18" spans="1:27" x14ac:dyDescent="0.25">
      <c r="A18" s="115" t="s">
        <v>169</v>
      </c>
      <c r="E18" s="113">
        <v>1500</v>
      </c>
      <c r="G18" s="1" t="s">
        <v>476</v>
      </c>
    </row>
    <row r="19" spans="1:27" x14ac:dyDescent="0.25">
      <c r="A19" s="115" t="s">
        <v>478</v>
      </c>
      <c r="E19" s="113">
        <v>1500</v>
      </c>
      <c r="G19" s="1" t="s">
        <v>476</v>
      </c>
    </row>
    <row r="22" spans="1:27" x14ac:dyDescent="0.25">
      <c r="A22" s="6" t="s">
        <v>306</v>
      </c>
      <c r="I22" s="6"/>
      <c r="O22" s="6"/>
      <c r="U22" s="6"/>
    </row>
    <row r="23" spans="1:27" s="4" customFormat="1" ht="30.75" thickBot="1" x14ac:dyDescent="0.3">
      <c r="A23" s="34" t="s">
        <v>310</v>
      </c>
      <c r="C23" s="34" t="s">
        <v>479</v>
      </c>
      <c r="E23" s="34" t="s">
        <v>314</v>
      </c>
      <c r="I23" s="35"/>
      <c r="K23" s="35"/>
      <c r="M23" s="35"/>
      <c r="O23" s="35"/>
      <c r="Q23" s="35"/>
      <c r="S23" s="35"/>
      <c r="U23" s="35"/>
      <c r="W23" s="35"/>
      <c r="Y23" s="35"/>
      <c r="AA23" s="35"/>
    </row>
    <row r="24" spans="1:27" s="3" customFormat="1" x14ac:dyDescent="0.25">
      <c r="A24" s="3" t="s">
        <v>480</v>
      </c>
      <c r="C24" s="3" t="s">
        <v>129</v>
      </c>
      <c r="E24" s="113">
        <v>4800</v>
      </c>
      <c r="G24" s="1" t="s">
        <v>476</v>
      </c>
    </row>
    <row r="25" spans="1:27" s="3" customFormat="1" x14ac:dyDescent="0.25">
      <c r="A25" s="3" t="s">
        <v>173</v>
      </c>
      <c r="E25" s="113">
        <f>120*20*0.8</f>
        <v>1920</v>
      </c>
      <c r="G25" s="1" t="s">
        <v>476</v>
      </c>
    </row>
    <row r="26" spans="1:27" s="3" customFormat="1" x14ac:dyDescent="0.25"/>
    <row r="27" spans="1:27" s="3" customFormat="1" x14ac:dyDescent="0.25"/>
    <row r="29" spans="1:27" ht="30.75" thickBot="1" x14ac:dyDescent="0.3">
      <c r="A29" s="34" t="s">
        <v>331</v>
      </c>
      <c r="B29" s="4"/>
      <c r="C29" s="34" t="s">
        <v>332</v>
      </c>
      <c r="D29" s="4"/>
      <c r="E29" s="34" t="s">
        <v>481</v>
      </c>
      <c r="F29" s="4"/>
      <c r="G29" s="35"/>
    </row>
    <row r="30" spans="1:27" x14ac:dyDescent="0.25">
      <c r="A30" s="3" t="s">
        <v>85</v>
      </c>
      <c r="C30" s="3" t="s">
        <v>163</v>
      </c>
      <c r="E30" s="3">
        <v>1440</v>
      </c>
      <c r="G30" s="3"/>
    </row>
    <row r="31" spans="1:27" x14ac:dyDescent="0.25">
      <c r="A31" s="3" t="s">
        <v>464</v>
      </c>
      <c r="C31" s="3" t="s">
        <v>185</v>
      </c>
      <c r="G31" s="3"/>
    </row>
    <row r="32" spans="1:27" x14ac:dyDescent="0.25">
      <c r="C32" s="3"/>
      <c r="E32" s="56"/>
      <c r="G32" s="56"/>
      <c r="H32" s="2"/>
    </row>
    <row r="33" spans="1:9" x14ac:dyDescent="0.25">
      <c r="A33" s="3"/>
      <c r="C33" s="3"/>
      <c r="E33" s="56"/>
      <c r="G33" s="56"/>
      <c r="H33" s="2"/>
    </row>
    <row r="34" spans="1:9" x14ac:dyDescent="0.25">
      <c r="A34" s="3"/>
      <c r="C34" s="3"/>
      <c r="E34" s="3"/>
      <c r="G34" s="56"/>
      <c r="H34" s="2"/>
      <c r="I34" s="56"/>
    </row>
    <row r="35" spans="1:9" x14ac:dyDescent="0.25">
      <c r="G35" s="3"/>
      <c r="I35" s="3"/>
    </row>
    <row r="36" spans="1:9" ht="15.75" thickBot="1" x14ac:dyDescent="0.3">
      <c r="A36" s="54" t="s">
        <v>87</v>
      </c>
      <c r="C36" s="33" t="s">
        <v>340</v>
      </c>
      <c r="E36" s="39"/>
      <c r="G36" s="3"/>
      <c r="I36" s="3"/>
    </row>
    <row r="37" spans="1:9" x14ac:dyDescent="0.25">
      <c r="A37" s="3" t="s">
        <v>482</v>
      </c>
      <c r="B37" s="3"/>
      <c r="C37" s="3">
        <f>16*120</f>
        <v>1920</v>
      </c>
      <c r="G37" s="3"/>
      <c r="I37" s="3"/>
    </row>
    <row r="38" spans="1:9" x14ac:dyDescent="0.25">
      <c r="A38" s="3" t="s">
        <v>483</v>
      </c>
      <c r="B38" s="3"/>
      <c r="C38" s="3">
        <f>20*240</f>
        <v>4800</v>
      </c>
      <c r="G38" s="3"/>
      <c r="I38" s="3"/>
    </row>
    <row r="39" spans="1:9" x14ac:dyDescent="0.25">
      <c r="A39" s="3" t="s">
        <v>88</v>
      </c>
      <c r="B39" s="3"/>
      <c r="C39" s="3">
        <f>32*240</f>
        <v>7680</v>
      </c>
    </row>
    <row r="40" spans="1:9" x14ac:dyDescent="0.25">
      <c r="A40" s="3" t="s">
        <v>341</v>
      </c>
      <c r="C40" s="3">
        <f>40*240</f>
        <v>9600</v>
      </c>
    </row>
    <row r="42" spans="1:9" x14ac:dyDescent="0.25">
      <c r="I42" s="3"/>
    </row>
    <row r="43" spans="1:9" x14ac:dyDescent="0.25">
      <c r="I43" s="3"/>
    </row>
    <row r="45" spans="1:9" ht="15.75" thickBot="1" x14ac:dyDescent="0.3">
      <c r="A45" s="33" t="s">
        <v>484</v>
      </c>
      <c r="C45" s="54" t="s">
        <v>485</v>
      </c>
      <c r="I45" s="40"/>
    </row>
    <row r="46" spans="1:9" x14ac:dyDescent="0.25">
      <c r="A46" s="3" t="s">
        <v>198</v>
      </c>
      <c r="C46" s="3" t="s">
        <v>208</v>
      </c>
    </row>
    <row r="47" spans="1:9" x14ac:dyDescent="0.25">
      <c r="A47" s="3" t="s">
        <v>199</v>
      </c>
      <c r="C47" s="3" t="s">
        <v>199</v>
      </c>
    </row>
    <row r="48" spans="1:9" x14ac:dyDescent="0.25">
      <c r="A48" s="3"/>
    </row>
    <row r="49" spans="1:1" ht="15.75" thickBot="1" x14ac:dyDescent="0.3">
      <c r="A49" s="33" t="s">
        <v>153</v>
      </c>
    </row>
    <row r="50" spans="1:1" x14ac:dyDescent="0.25">
      <c r="A50" s="3" t="s">
        <v>207</v>
      </c>
    </row>
    <row r="51" spans="1:1" x14ac:dyDescent="0.25">
      <c r="A51" s="3" t="s">
        <v>210</v>
      </c>
    </row>
    <row r="52" spans="1:1" x14ac:dyDescent="0.25">
      <c r="A52" s="3"/>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6E210-4572-47F3-B290-805565C40C71}">
  <dimension ref="A5:AD57"/>
  <sheetViews>
    <sheetView topLeftCell="A4" workbookViewId="0">
      <selection activeCell="F40" sqref="F40:F43"/>
    </sheetView>
  </sheetViews>
  <sheetFormatPr defaultRowHeight="15" x14ac:dyDescent="0.25"/>
  <cols>
    <col min="1" max="1" width="17.5703125" customWidth="1"/>
    <col min="2" max="2" width="11.7109375" bestFit="1" customWidth="1"/>
    <col min="3" max="3" width="10.5703125" bestFit="1" customWidth="1"/>
    <col min="4" max="5" width="10.5703125" customWidth="1"/>
    <col min="6" max="9" width="8.28515625" customWidth="1"/>
    <col min="10" max="10" width="13.140625" customWidth="1"/>
    <col min="11" max="14" width="8.28515625" customWidth="1"/>
    <col min="15" max="15" width="8.140625" customWidth="1"/>
    <col min="16" max="16" width="10.85546875" customWidth="1"/>
    <col min="19" max="30" width="12.140625" customWidth="1"/>
  </cols>
  <sheetData>
    <row r="5" spans="1:30" x14ac:dyDescent="0.25">
      <c r="S5" s="235" t="s">
        <v>486</v>
      </c>
      <c r="T5" s="235"/>
      <c r="U5" s="235"/>
      <c r="V5" s="235" t="s">
        <v>487</v>
      </c>
      <c r="W5" s="235"/>
      <c r="X5" s="235"/>
      <c r="Y5" s="235" t="s">
        <v>488</v>
      </c>
      <c r="Z5" s="235"/>
      <c r="AA5" s="235"/>
      <c r="AB5" s="248" t="s">
        <v>489</v>
      </c>
      <c r="AC5" s="231"/>
      <c r="AD5" s="231"/>
    </row>
    <row r="6" spans="1:30" ht="45" x14ac:dyDescent="0.25">
      <c r="B6" s="11" t="s">
        <v>490</v>
      </c>
      <c r="C6" s="4" t="s">
        <v>491</v>
      </c>
      <c r="D6" s="4" t="s">
        <v>492</v>
      </c>
      <c r="E6" s="4" t="s">
        <v>493</v>
      </c>
      <c r="F6" s="3" t="s">
        <v>494</v>
      </c>
      <c r="G6" s="3" t="s">
        <v>495</v>
      </c>
      <c r="H6" s="3" t="s">
        <v>496</v>
      </c>
      <c r="I6" s="4" t="s">
        <v>497</v>
      </c>
      <c r="J6" s="4" t="s">
        <v>498</v>
      </c>
      <c r="K6" s="4" t="s">
        <v>499</v>
      </c>
      <c r="L6" s="4" t="s">
        <v>500</v>
      </c>
      <c r="M6" s="4" t="s">
        <v>501</v>
      </c>
      <c r="N6" s="4" t="s">
        <v>502</v>
      </c>
      <c r="O6" s="4" t="s">
        <v>503</v>
      </c>
      <c r="P6" s="4" t="s">
        <v>504</v>
      </c>
      <c r="Q6" s="3" t="s">
        <v>344</v>
      </c>
      <c r="R6" s="4" t="s">
        <v>505</v>
      </c>
      <c r="S6" s="4" t="s">
        <v>506</v>
      </c>
      <c r="T6" s="4" t="s">
        <v>507</v>
      </c>
      <c r="U6" s="4" t="s">
        <v>508</v>
      </c>
      <c r="V6" s="4" t="s">
        <v>509</v>
      </c>
      <c r="W6" s="4" t="s">
        <v>510</v>
      </c>
      <c r="X6" s="4" t="s">
        <v>508</v>
      </c>
      <c r="Y6" s="4" t="s">
        <v>509</v>
      </c>
      <c r="Z6" s="4" t="s">
        <v>510</v>
      </c>
      <c r="AA6" s="4" t="s">
        <v>508</v>
      </c>
      <c r="AB6" s="4" t="s">
        <v>509</v>
      </c>
      <c r="AC6" s="4" t="s">
        <v>510</v>
      </c>
      <c r="AD6" s="4" t="s">
        <v>511</v>
      </c>
    </row>
    <row r="7" spans="1:30" x14ac:dyDescent="0.25">
      <c r="B7" s="11">
        <f t="shared" ref="B7:B13" si="0">$O$8</f>
        <v>100</v>
      </c>
      <c r="C7">
        <f>$L$8</f>
        <v>125</v>
      </c>
      <c r="D7">
        <f>P10</f>
        <v>125</v>
      </c>
      <c r="E7">
        <f>P11</f>
        <v>125</v>
      </c>
      <c r="F7" s="3"/>
      <c r="G7" s="3"/>
      <c r="H7" s="3"/>
      <c r="I7" s="3"/>
      <c r="J7" s="4"/>
      <c r="K7" s="4"/>
      <c r="L7" s="4"/>
      <c r="M7" s="4"/>
      <c r="N7" s="4"/>
      <c r="O7" s="4"/>
      <c r="P7" s="4"/>
      <c r="Q7" s="3"/>
      <c r="R7" s="4"/>
      <c r="S7" s="4"/>
      <c r="T7" s="4"/>
      <c r="U7" s="4"/>
      <c r="V7" s="4"/>
      <c r="W7" s="4"/>
      <c r="X7" s="4"/>
      <c r="Y7" s="4"/>
      <c r="Z7" s="4"/>
      <c r="AA7" s="4"/>
      <c r="AB7" s="4"/>
      <c r="AC7" s="4"/>
      <c r="AD7" s="4"/>
    </row>
    <row r="8" spans="1:30" x14ac:dyDescent="0.25">
      <c r="A8" t="s">
        <v>135</v>
      </c>
      <c r="B8" s="11">
        <f t="shared" si="0"/>
        <v>100</v>
      </c>
      <c r="C8">
        <f t="shared" ref="C8:C13" si="1">$C$7</f>
        <v>125</v>
      </c>
      <c r="D8">
        <f t="shared" ref="D8:D13" si="2">$D$7</f>
        <v>125</v>
      </c>
      <c r="E8">
        <f t="shared" ref="E8:E13" si="3">$E$7</f>
        <v>125</v>
      </c>
      <c r="F8" s="87">
        <f>T8</f>
        <v>42.666666666666664</v>
      </c>
      <c r="G8" s="87">
        <f>IF(I8&lt;&gt;0,W8-I8,W8)</f>
        <v>42.408333333333331</v>
      </c>
      <c r="H8" s="87">
        <f>IF(N8=0,0,Z8)</f>
        <v>14.925000000000001</v>
      </c>
      <c r="I8" s="87">
        <f>AC8</f>
        <v>0</v>
      </c>
      <c r="J8" s="86">
        <f>$N8/$L$8</f>
        <v>0.68059999999999998</v>
      </c>
      <c r="K8" s="88">
        <f>MAX(N8:N11,O8:O11)</f>
        <v>118.96666666666667</v>
      </c>
      <c r="L8">
        <f>MAX($O$8:$P$11)</f>
        <v>125</v>
      </c>
      <c r="M8" s="88">
        <f>S8+V8</f>
        <v>20418</v>
      </c>
      <c r="N8" s="87">
        <f>M8/Q8</f>
        <v>85.075000000000003</v>
      </c>
      <c r="O8" s="3">
        <f>'Property Information'!D31</f>
        <v>100</v>
      </c>
      <c r="P8" s="3">
        <f>IF(N8&lt;O8,O8,_xlfn.XLOOKUP(N8,Reference!$E$62:$E$68,Reference!$E$62:$E$68,,1,1))</f>
        <v>100</v>
      </c>
      <c r="Q8" s="3">
        <f>IF(LEFT('Property Information'!D30,3)="240",240,120)</f>
        <v>240</v>
      </c>
      <c r="R8" s="3">
        <f>Q8*O8</f>
        <v>24000</v>
      </c>
      <c r="S8" s="3">
        <f>'Panel Load - Baseline'!K63</f>
        <v>10240</v>
      </c>
      <c r="T8" s="84">
        <f>'Panel Load - Baseline'!K65</f>
        <v>42.666666666666664</v>
      </c>
      <c r="U8" s="85">
        <f>S8/R8</f>
        <v>0.42666666666666669</v>
      </c>
      <c r="V8" s="61">
        <f>'Panel Load - Baseline'!L63</f>
        <v>10178</v>
      </c>
      <c r="W8" s="84">
        <f>'Panel Load - Baseline'!L65</f>
        <v>42.408333333333331</v>
      </c>
      <c r="X8" s="85">
        <f>V8/R8</f>
        <v>0.42408333333333331</v>
      </c>
      <c r="Y8" s="61">
        <f>IF((R8-S8-V8)&lt;0,0,R8-S8-V8)</f>
        <v>3582</v>
      </c>
      <c r="Z8" s="84">
        <f>Y8/Q8</f>
        <v>14.925000000000001</v>
      </c>
      <c r="AA8" s="85">
        <f>Y8/R8</f>
        <v>0.14924999999999999</v>
      </c>
      <c r="AB8" s="117">
        <f>IF((R8-S8-V8)&lt;0,-(R8-S8-V8),0)</f>
        <v>0</v>
      </c>
      <c r="AC8" s="89">
        <f>AB8/Q8</f>
        <v>0</v>
      </c>
      <c r="AD8" s="85">
        <f>AB8/R8</f>
        <v>0</v>
      </c>
    </row>
    <row r="9" spans="1:30" x14ac:dyDescent="0.25">
      <c r="A9" t="s">
        <v>512</v>
      </c>
      <c r="B9" s="11">
        <f t="shared" si="0"/>
        <v>100</v>
      </c>
      <c r="C9">
        <f t="shared" si="1"/>
        <v>125</v>
      </c>
      <c r="D9">
        <f t="shared" si="2"/>
        <v>125</v>
      </c>
      <c r="E9">
        <f t="shared" si="3"/>
        <v>125</v>
      </c>
      <c r="F9" s="87">
        <f>T9</f>
        <v>42.666666666666664</v>
      </c>
      <c r="G9" s="87">
        <f>IF(I9&lt;&gt;0,W9-I9,W9)</f>
        <v>57.333333333333329</v>
      </c>
      <c r="H9" s="87">
        <f>IF(N9=0,0,Z9)</f>
        <v>0</v>
      </c>
      <c r="I9" s="87">
        <f>AC9</f>
        <v>18.966666666666665</v>
      </c>
      <c r="J9" s="86">
        <f>$N9/$L$8</f>
        <v>0.95173333333333332</v>
      </c>
      <c r="M9" s="88">
        <f>S9+V9</f>
        <v>28552</v>
      </c>
      <c r="N9" s="87">
        <f>M9/Q9</f>
        <v>118.96666666666667</v>
      </c>
      <c r="O9" s="3">
        <f>O8</f>
        <v>100</v>
      </c>
      <c r="P9" s="3">
        <f>IF(N9&lt;O9,O9,_xlfn.XLOOKUP(N9,Reference!$E$62:$E$68,Reference!$E$62:$E$68,,1,1))</f>
        <v>125</v>
      </c>
      <c r="Q9" s="3">
        <f t="shared" ref="Q9:R12" si="4">Q8</f>
        <v>240</v>
      </c>
      <c r="R9" s="3">
        <f t="shared" si="4"/>
        <v>24000</v>
      </c>
      <c r="S9" s="3">
        <f>'Panel Load - Goal'!K63</f>
        <v>10240</v>
      </c>
      <c r="T9" s="84">
        <f>'Panel Load - Goal'!K65</f>
        <v>42.666666666666664</v>
      </c>
      <c r="U9" s="85">
        <f>S9/R9</f>
        <v>0.42666666666666669</v>
      </c>
      <c r="V9" s="61">
        <f>'Panel Load - Goal'!L63</f>
        <v>18312</v>
      </c>
      <c r="W9" s="84">
        <f>'Panel Load - Goal'!L65</f>
        <v>76.3</v>
      </c>
      <c r="X9" s="85">
        <f>V9/R9</f>
        <v>0.76300000000000001</v>
      </c>
      <c r="Y9" s="61">
        <f>IF((R9-S9-V9)&lt;0,0,R9-S9-V9)</f>
        <v>0</v>
      </c>
      <c r="Z9" s="84">
        <f>Y9/Q9</f>
        <v>0</v>
      </c>
      <c r="AA9" s="85">
        <f>Y9/R9</f>
        <v>0</v>
      </c>
      <c r="AB9" s="117">
        <f>IF((R9-S9-V9)&lt;0,-(R9-S9-V9),0)</f>
        <v>4552</v>
      </c>
      <c r="AC9" s="89">
        <f>AB9/Q9</f>
        <v>18.966666666666665</v>
      </c>
      <c r="AD9" s="85">
        <f>AB9/R9</f>
        <v>0.18966666666666668</v>
      </c>
    </row>
    <row r="10" spans="1:30" x14ac:dyDescent="0.25">
      <c r="A10" t="s">
        <v>198</v>
      </c>
      <c r="B10" s="11">
        <f t="shared" si="0"/>
        <v>100</v>
      </c>
      <c r="C10">
        <f t="shared" si="1"/>
        <v>125</v>
      </c>
      <c r="D10">
        <f t="shared" si="2"/>
        <v>125</v>
      </c>
      <c r="E10">
        <f t="shared" si="3"/>
        <v>125</v>
      </c>
      <c r="F10" s="87">
        <f>T10</f>
        <v>42.666666666666664</v>
      </c>
      <c r="G10" s="87">
        <f>IF(I10&lt;&gt;0,W10-I10,W10)</f>
        <v>57.333333333333329</v>
      </c>
      <c r="H10" s="87">
        <f>IF(N10=0,0,Z10)</f>
        <v>0</v>
      </c>
      <c r="I10" s="87">
        <f>AC10</f>
        <v>18.966666666666665</v>
      </c>
      <c r="J10" s="86">
        <f>$N10/$L$8</f>
        <v>0.95173333333333332</v>
      </c>
      <c r="M10" s="88">
        <f>S10+V10</f>
        <v>28552</v>
      </c>
      <c r="N10" s="87">
        <f>M10/Q10</f>
        <v>118.96666666666667</v>
      </c>
      <c r="O10" s="3">
        <f>O9</f>
        <v>100</v>
      </c>
      <c r="P10" s="3">
        <f>IF(N10&lt;O10,O10,_xlfn.XLOOKUP(N10,Reference!$E$62:$E$68,Reference!$E$62:$E$68,,1,1))</f>
        <v>125</v>
      </c>
      <c r="Q10" s="3">
        <f t="shared" si="4"/>
        <v>240</v>
      </c>
      <c r="R10" s="3">
        <f t="shared" si="4"/>
        <v>24000</v>
      </c>
      <c r="S10" s="3">
        <f>'Panel Load - Opt1'!K63</f>
        <v>10240</v>
      </c>
      <c r="T10" s="84">
        <f>'Panel Load - Opt1'!K65</f>
        <v>42.666666666666664</v>
      </c>
      <c r="U10" s="85">
        <f>S10/R10</f>
        <v>0.42666666666666669</v>
      </c>
      <c r="V10" s="61">
        <f>'Panel Load - Opt1'!L63</f>
        <v>18312</v>
      </c>
      <c r="W10" s="84">
        <f>'Panel Load - Opt1'!L65</f>
        <v>76.3</v>
      </c>
      <c r="X10" s="85">
        <f>V10/R10</f>
        <v>0.76300000000000001</v>
      </c>
      <c r="Y10" s="61">
        <f>IF((R10-S10-V10)&lt;0,0,R10-S10-V10)</f>
        <v>0</v>
      </c>
      <c r="Z10" s="84">
        <f>Y10/Q10</f>
        <v>0</v>
      </c>
      <c r="AA10" s="85">
        <f>Y10/R10</f>
        <v>0</v>
      </c>
      <c r="AB10" s="117">
        <f>IF((R10-S10-V10)&lt;0,-(R10-S10-V10),0)</f>
        <v>4552</v>
      </c>
      <c r="AC10" s="89">
        <f>AB10/Q10</f>
        <v>18.966666666666665</v>
      </c>
      <c r="AD10" s="85">
        <f>AB10/R10</f>
        <v>0.18966666666666668</v>
      </c>
    </row>
    <row r="11" spans="1:30" x14ac:dyDescent="0.25">
      <c r="A11" t="s">
        <v>513</v>
      </c>
      <c r="B11" s="11">
        <f t="shared" si="0"/>
        <v>100</v>
      </c>
      <c r="C11">
        <f t="shared" si="1"/>
        <v>125</v>
      </c>
      <c r="D11">
        <f t="shared" si="2"/>
        <v>125</v>
      </c>
      <c r="E11">
        <f t="shared" si="3"/>
        <v>125</v>
      </c>
      <c r="F11" s="87">
        <f>T11</f>
        <v>42.666666666666664</v>
      </c>
      <c r="G11" s="87">
        <f>IF(I11&lt;&gt;0,W11-I11,W11)</f>
        <v>57.333333333333329</v>
      </c>
      <c r="H11" s="87">
        <f>IF(N11=0,0,Z11)</f>
        <v>0</v>
      </c>
      <c r="I11" s="87">
        <f>AC11</f>
        <v>18.966666666666665</v>
      </c>
      <c r="J11" s="86">
        <f>$N11/$L$8</f>
        <v>0.95173333333333332</v>
      </c>
      <c r="M11" s="88">
        <f>S11+V11</f>
        <v>28552</v>
      </c>
      <c r="N11" s="87">
        <f>M11/Q11</f>
        <v>118.96666666666667</v>
      </c>
      <c r="O11" s="3">
        <f>O10</f>
        <v>100</v>
      </c>
      <c r="P11" s="3">
        <f>IF(N11&lt;O11,O11,_xlfn.XLOOKUP(N11,Reference!$E$62:$E$68,Reference!$E$62:$E$68,,1,1))</f>
        <v>125</v>
      </c>
      <c r="Q11" s="3">
        <f t="shared" si="4"/>
        <v>240</v>
      </c>
      <c r="R11" s="3">
        <f t="shared" si="4"/>
        <v>24000</v>
      </c>
      <c r="S11" s="3">
        <f>'Panel Load - Opt2'!K63</f>
        <v>10240</v>
      </c>
      <c r="T11" s="84">
        <f>'Panel Load - Opt2'!K65</f>
        <v>42.666666666666664</v>
      </c>
      <c r="U11" s="85">
        <f>S11/R11</f>
        <v>0.42666666666666669</v>
      </c>
      <c r="V11" s="61">
        <f>'Panel Load - Opt2'!L63</f>
        <v>18312</v>
      </c>
      <c r="W11" s="84">
        <f>'Panel Load - Opt2'!L65</f>
        <v>76.3</v>
      </c>
      <c r="X11" s="85">
        <f>V11/R11</f>
        <v>0.76300000000000001</v>
      </c>
      <c r="Y11" s="61">
        <f>IF((R11-S11-V11)&lt;0,0,R11-S11-V11)</f>
        <v>0</v>
      </c>
      <c r="Z11" s="84">
        <f>Y11/Q11</f>
        <v>0</v>
      </c>
      <c r="AA11" s="85">
        <f>Y11/R11</f>
        <v>0</v>
      </c>
      <c r="AB11" s="117">
        <f>IF((R11-S11-V11)&lt;0,-(R11-S11-V11),0)</f>
        <v>4552</v>
      </c>
      <c r="AC11" s="89">
        <f>AB11/Q11</f>
        <v>18.966666666666665</v>
      </c>
      <c r="AD11" s="85">
        <f>AB11/R11</f>
        <v>0.18966666666666668</v>
      </c>
    </row>
    <row r="12" spans="1:30" x14ac:dyDescent="0.25">
      <c r="A12" t="str">
        <f>IF('Opt. 3 - Load Mgmt'!F8="Y","Load Mgmt-EV Share",IF('Opt. 3 - Load Mgmt'!F9="Y","Load Mgmt-Dyn EV",IF('Opt. 3 - Load Mgmt'!F10="Y","Load Mgmt-Smt Panel","No Load Mgmt Selected")))</f>
        <v>No Load Mgmt Selected</v>
      </c>
      <c r="B12" s="11">
        <f t="shared" si="0"/>
        <v>100</v>
      </c>
      <c r="C12">
        <f t="shared" si="1"/>
        <v>125</v>
      </c>
      <c r="D12">
        <f t="shared" si="2"/>
        <v>125</v>
      </c>
      <c r="E12">
        <f t="shared" si="3"/>
        <v>125</v>
      </c>
      <c r="F12" s="87">
        <f>IF(LEFT(A12,4)="No L",0,T12)</f>
        <v>0</v>
      </c>
      <c r="G12" s="87">
        <f>IF(LEFT(A12,4)="No L",0,IF(I12&lt;&gt;0,W12-I12,W12))</f>
        <v>0</v>
      </c>
      <c r="H12" s="87">
        <f>IF(LEFT(A12,4)="No L",0,IF(N12=0,0,Z12))</f>
        <v>0</v>
      </c>
      <c r="I12" s="87">
        <f>IF(LEFT(A12,4)="No L",0,AC12)</f>
        <v>0</v>
      </c>
      <c r="J12" s="86">
        <f>$N12/$L$8</f>
        <v>0.70173333333333332</v>
      </c>
      <c r="M12" s="88">
        <f>S12+V12</f>
        <v>21052</v>
      </c>
      <c r="N12" s="87">
        <f>M12/Q12</f>
        <v>87.716666666666669</v>
      </c>
      <c r="O12" s="3">
        <f>O11</f>
        <v>100</v>
      </c>
      <c r="P12" s="3">
        <f>IF(N12&lt;O12,O12,_xlfn.XLOOKUP(N12,Reference!$E$62:$E$68,Reference!$E$62:$E$68,,1,1))</f>
        <v>100</v>
      </c>
      <c r="Q12" s="3">
        <f t="shared" si="4"/>
        <v>240</v>
      </c>
      <c r="R12" s="3">
        <f t="shared" si="4"/>
        <v>24000</v>
      </c>
      <c r="S12" s="3">
        <f>IF(LEFT('Opt. 3 - Load Mgmt'!$H8,7)="This op",'Panel Load - Opt3a'!K63,IF(LEFT('Opt. 3 - Load Mgmt'!$H9,7)="This op",'Panel Load - Opt3b'!K63,IF(LEFT('Opt. 3 - Load Mgmt'!$H10,7)="This op",'Panel Load - Opt3c'!K63,'Panel Load - Opt2'!K63)))</f>
        <v>10240</v>
      </c>
      <c r="T12" s="84">
        <f>IF(LEFT('Opt. 3 - Load Mgmt'!$H8,7)="This op",'Panel Load - Opt3a'!K65,IF(LEFT('Opt. 3 - Load Mgmt'!$H9,7)="This op",'Panel Load - Opt3b'!K65,'Panel Load - Opt3c'!K65))</f>
        <v>42.666666666666664</v>
      </c>
      <c r="U12" s="85">
        <f>S12/R12</f>
        <v>0.42666666666666669</v>
      </c>
      <c r="V12" s="61">
        <f>IF(LEFT('Opt. 3 - Load Mgmt'!$H8,7)="This op",'Panel Load - Opt3a'!L63,IF(LEFT('Opt. 3 - Load Mgmt'!$H9,7)="This op",'Panel Load - Opt3b'!L63,'Panel Load - Opt3c'!L63))</f>
        <v>10812</v>
      </c>
      <c r="W12" s="84">
        <f>IF(LEFT('Opt. 3 - Load Mgmt'!$H8,7)="This op",'Panel Load - Opt3a'!L65,IF(LEFT('Opt. 3 - Load Mgmt'!$H9,7)="This op",'Panel Load - Opt3b'!L65,'Panel Load - Opt3c'!L65))</f>
        <v>45.05</v>
      </c>
      <c r="X12" s="85">
        <f>V12/R12</f>
        <v>0.45050000000000001</v>
      </c>
      <c r="Y12" s="61">
        <f>IF((R12-S12-V12)&lt;0,0,R12-S12-V12)</f>
        <v>2948</v>
      </c>
      <c r="Z12" s="84">
        <f>Y12/Q12</f>
        <v>12.283333333333333</v>
      </c>
      <c r="AA12" s="85">
        <f>Y12/R12</f>
        <v>0.12283333333333334</v>
      </c>
      <c r="AB12" s="117">
        <f>IF((R12-S12-V12)&lt;0,-(R12-S12-V12),0)</f>
        <v>0</v>
      </c>
      <c r="AC12" s="89">
        <f>AB12/Q12</f>
        <v>0</v>
      </c>
      <c r="AD12" s="85">
        <f>AB12/R12</f>
        <v>0</v>
      </c>
    </row>
    <row r="13" spans="1:30" x14ac:dyDescent="0.25">
      <c r="B13" s="11">
        <f t="shared" si="0"/>
        <v>100</v>
      </c>
      <c r="C13">
        <f t="shared" si="1"/>
        <v>125</v>
      </c>
      <c r="D13">
        <f t="shared" si="2"/>
        <v>125</v>
      </c>
      <c r="E13">
        <f t="shared" si="3"/>
        <v>125</v>
      </c>
    </row>
    <row r="18" spans="1:30" ht="15.75" thickBot="1" x14ac:dyDescent="0.3">
      <c r="A18" s="54" t="s">
        <v>514</v>
      </c>
      <c r="B18" s="54"/>
      <c r="C18" s="54"/>
      <c r="D18" s="54"/>
      <c r="E18" s="54"/>
      <c r="F18" s="54"/>
    </row>
    <row r="19" spans="1:30" x14ac:dyDescent="0.25">
      <c r="B19" s="47" t="str">
        <f>"The existing main electrical panel is "&amp;BasePanel&amp;" Amps."</f>
        <v>The existing main electrical panel is 100 Amps.</v>
      </c>
    </row>
    <row r="20" spans="1:30" x14ac:dyDescent="0.25">
      <c r="B20" t="str">
        <f>"With all the electrification measures chosen in the 'Electrification Upgrades' tab, the minimum size electrical panel and service will need to be "&amp;ElectNewPanel&amp;" Amps."</f>
        <v>With all the electrification measures chosen in the 'Electrification Upgrades' tab, the minimum size electrical panel and service will need to be 125 Amps.</v>
      </c>
    </row>
    <row r="21" spans="1:30" x14ac:dyDescent="0.25">
      <c r="B21" t="str">
        <f>IF((MIN(ElectLPA,ElectHVAC,ElectLM)&lt;=BasePanel),"The optimizations selected will permit electrification without increasing the panel and service size.",IF(MIN(ElectLPA,ElectLM,ElectLPA)&lt;ElectNewPanel,"The combined optimization measures will reduce the panel size required to "&amp;MIN(ElectHVAC,ElectLM,ElectLPA)&amp;" amps.","The current optimization measures are insufficient to lower the panel size below the "&amp;ElectNewPanel&amp;" Amp size."))</f>
        <v>The optimizations selected will permit electrification without increasing the panel and service size.</v>
      </c>
    </row>
    <row r="23" spans="1:30" ht="15.75" thickBot="1" x14ac:dyDescent="0.3">
      <c r="A23" s="54" t="s">
        <v>515</v>
      </c>
      <c r="B23" s="54"/>
      <c r="C23" s="54"/>
      <c r="D23" s="54"/>
      <c r="E23" s="54"/>
      <c r="F23" s="54"/>
    </row>
    <row r="25" spans="1:30" x14ac:dyDescent="0.25">
      <c r="B25" t="str">
        <f>IF(ElectNewPanel&lt;=BasePanel,"Your electrification upgrade selections fit your existing panel capacity."&amp;"  You DO NOT need a panel upgrade. However, using more efficient equipment and low power appliance choices may reduce energy consumption and save on electric bills.","The electrification upgrades selected will require a panel and service upgrade, but follow the optimization options recommendations below to mitigate this impact.")</f>
        <v>The electrification upgrades selected will require a panel and service upgrade, but follow the optimization options recommendations below to mitigate this impact.</v>
      </c>
    </row>
    <row r="26" spans="1:30" x14ac:dyDescent="0.25">
      <c r="B26" t="str">
        <f>IF(MIN(ElectLPA,ElectHVAC,ElectLM)&lt;=BasePanel,"The currently selected optimizations will meet the existing panel capacity and no panel upgrade is required.","Your current optimization selections exceed your existing panel capacity, and require an upgrade to a "&amp; MIN(ElectLPA,ElectHVAC,ElectLM)&amp;" Amp service. Consider making additional optimization selections, or proceed with a service upgrade.")</f>
        <v>The currently selected optimizations will meet the existing panel capacity and no panel upgrade is required.</v>
      </c>
    </row>
    <row r="27" spans="1:30" x14ac:dyDescent="0.25">
      <c r="B27" t="str">
        <f>IF(AND('Opt. 1 - Low-Power Appliances'!D6="N",'Opt. 1 - Low-Power Appliances'!D7="N",'Opt. 1 - Low-Power Appliances'!D14="N",'Opt. 1 - Low-Power Appliances'!D22="N",'Opt. 1 - Low-Power Appliances'!D33="N"),"Low Power Appliances - No LPA options are chosen. Go to the LPA tab and select options that are viable for the client.",IF(ElectLPA=ElectNewPanel,"Low Power Appliances - The selections made in the LPA tab are not enough to lower the panel upgrade size. Consider additional choices or proceed to the next optimization tab.",IF(AND(ElectLPA&lt;&gt;ElectNewPanel,ElectLPA&lt;&gt;BasePanel),"Low Power Appliances - The LPA options selected will reduce the panel size, but not enough to eliminate a panel size increase. Continue to the next optimization tabs for further options.","Low Power Appliances - The LPA selections fit your existing panel capacity."&amp;"  You DO NOT need a panel upgrade. However, more efficient equipment &amp; low power appliance choices may reduce energy consumption to save on electric bills.")))</f>
        <v>Low Power Appliances - No LPA options are chosen. Go to the LPA tab and select options that are viable for the client.</v>
      </c>
    </row>
    <row r="28" spans="1:30" x14ac:dyDescent="0.25">
      <c r="B28" t="str">
        <f>IF(AND('Opt. 2 - Right-Size HVAC'!D8="N",'Opt. 2 - Right-Size HVAC'!D9="N",'Opt. 2 - Right-Size HVAC'!D10="N",'Opt. 2 - Right-Size HVAC'!D17="N"),"Right Size HVAC  - No HVAC options are chosen. Go to the HVAC tab and select options that are viable for the client if applicable through HVAC or envelope upgrades.",IF(ElectHVAC=ElectNewPanel,"Right-Size HVAC - The selections made in the HVAC optimizations tab are not enough to lower the panel upgrade size. Consider additional choices or proceed to the next optimization tab.",IF(AND(ElectHVAC&lt;&gt;ElectNewPanel,ElectHVAC&lt;&gt;BasePanel),"Right-Size HVAC - The HVAC options selected will reduce the panel size, but not enough to eliminate a panel size increase. Continue to the next optimization tab for further options.","Right-Size HVAC - Your HVAC selections now fit within your existing panel capacity."&amp;"  You DO NOT need a panel upgrade. However, using more efficient equipment choices may reduce energy consumption and peak load to save on electric bills.")))</f>
        <v>Right Size HVAC  - No HVAC options are chosen. Go to the HVAC tab and select options that are viable for the client if applicable through HVAC or envelope upgrades.</v>
      </c>
    </row>
    <row r="29" spans="1:30" x14ac:dyDescent="0.25">
      <c r="B29" t="str">
        <f>IF(AND('Opt. 3 - Load Mgmt'!F8="N",'Opt. 3 - Load Mgmt'!F9="N",'Opt. 3 - Load Mgmt'!F10="N"),"Load Management  - No LM options are chosen. Go to the LM tab and select options that are viable for the client .",IF(ElectLM=ElectNewPanel,"Load Management - The selections made in the LM optimizations tab are not enough to lower the panel upgrade size. Consider additional choices to this and the other optimization tabs to reduce the load further if possible.",IF(AND(ElectLM&lt;&gt;ElectNewPanel,ElectLM&lt;&gt;BasePanel),"Load Management - The LM options selected will reduce the panel size, but not enough to eliminate a panel size increase. Consider additional choices to this and the other optimization tabs to reduce the load further if possible.","Load Management - The LM selections now fit within your existing panel capacity."&amp;"  You DO NOT need a panel upgrade. However, using more efficient equipment choices "&amp;"may reduce energy consumption and peak load to save on electric bills.")))</f>
        <v>Load Management  - No LM options are chosen. Go to the LM tab and select options that are viable for the client .</v>
      </c>
    </row>
    <row r="31" spans="1:30" x14ac:dyDescent="0.25">
      <c r="A31" s="131"/>
      <c r="B31" t="str">
        <f>"The optimized main electrical panel is "&amp;MIN(ElectLPA,ElectHVAC,ElectLM)&amp;" Amps."</f>
        <v>The optimized main electrical panel is 100 Amps.</v>
      </c>
      <c r="C31" s="131"/>
      <c r="D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row>
    <row r="34" spans="1:30" x14ac:dyDescent="0.25">
      <c r="A34" s="131"/>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row>
    <row r="35" spans="1:30" x14ac:dyDescent="0.25">
      <c r="A35" s="131"/>
      <c r="B35" s="131"/>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row>
    <row r="43" spans="1:30" x14ac:dyDescent="0.25">
      <c r="A43" s="131"/>
      <c r="B43" s="131"/>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c r="AA43" s="131"/>
      <c r="AB43" s="131"/>
      <c r="AC43" s="131"/>
      <c r="AD43" s="131"/>
    </row>
    <row r="50" spans="1:30"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row>
    <row r="57" spans="1:30"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row>
  </sheetData>
  <mergeCells count="4">
    <mergeCell ref="S5:U5"/>
    <mergeCell ref="V5:X5"/>
    <mergeCell ref="Y5:AA5"/>
    <mergeCell ref="AB5:AD5"/>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6FE2F-787B-4997-8A06-FF69D712E5A1}">
  <dimension ref="A1:I243"/>
  <sheetViews>
    <sheetView workbookViewId="0">
      <selection activeCell="E34" sqref="E34"/>
    </sheetView>
  </sheetViews>
  <sheetFormatPr defaultRowHeight="15" x14ac:dyDescent="0.25"/>
  <cols>
    <col min="1" max="1" width="12.85546875" bestFit="1" customWidth="1"/>
    <col min="2" max="2" width="11.7109375" style="3" customWidth="1"/>
    <col min="3" max="4" width="14.85546875" style="3" customWidth="1"/>
    <col min="5" max="5" width="15.85546875" style="3" customWidth="1"/>
    <col min="6" max="6" width="14.85546875" customWidth="1"/>
    <col min="7" max="7" width="12.140625" customWidth="1"/>
    <col min="8" max="8" width="10.42578125" style="3" customWidth="1"/>
  </cols>
  <sheetData>
    <row r="1" spans="1:7" x14ac:dyDescent="0.25">
      <c r="A1" s="249" t="s">
        <v>516</v>
      </c>
      <c r="B1" s="249"/>
      <c r="C1" s="249"/>
      <c r="D1" s="249"/>
      <c r="E1" s="249"/>
      <c r="F1" s="249"/>
      <c r="G1" s="249"/>
    </row>
    <row r="2" spans="1:7" x14ac:dyDescent="0.25">
      <c r="A2" s="3"/>
      <c r="E2" s="56" t="s">
        <v>517</v>
      </c>
      <c r="F2" s="3"/>
      <c r="G2" s="3"/>
    </row>
    <row r="3" spans="1:7" ht="30" x14ac:dyDescent="0.25">
      <c r="A3" s="3" t="s">
        <v>518</v>
      </c>
      <c r="B3" s="3" t="s">
        <v>519</v>
      </c>
      <c r="C3" s="3" t="s">
        <v>344</v>
      </c>
      <c r="D3" s="4" t="s">
        <v>520</v>
      </c>
      <c r="E3" s="3" t="s">
        <v>521</v>
      </c>
      <c r="F3" s="3" t="s">
        <v>522</v>
      </c>
      <c r="G3" t="s">
        <v>523</v>
      </c>
    </row>
    <row r="4" spans="1:7" x14ac:dyDescent="0.25">
      <c r="A4" t="s">
        <v>524</v>
      </c>
      <c r="B4" s="3">
        <v>6.5</v>
      </c>
      <c r="C4" s="3">
        <v>120</v>
      </c>
      <c r="D4" s="3">
        <v>15</v>
      </c>
      <c r="E4" s="56">
        <v>4</v>
      </c>
      <c r="F4" s="56">
        <f>C4*E4</f>
        <v>480</v>
      </c>
      <c r="G4" t="s">
        <v>525</v>
      </c>
    </row>
    <row r="5" spans="1:7" x14ac:dyDescent="0.25">
      <c r="A5" t="s">
        <v>524</v>
      </c>
      <c r="B5" s="3">
        <v>6.2</v>
      </c>
      <c r="C5" s="3">
        <v>120</v>
      </c>
      <c r="D5" s="3">
        <v>15</v>
      </c>
      <c r="E5" s="56">
        <v>4</v>
      </c>
      <c r="F5" s="56">
        <f t="shared" ref="F5:F28" si="0">C5*E5</f>
        <v>480</v>
      </c>
      <c r="G5" t="s">
        <v>526</v>
      </c>
    </row>
    <row r="6" spans="1:7" x14ac:dyDescent="0.25">
      <c r="A6" t="s">
        <v>524</v>
      </c>
      <c r="B6" s="3">
        <v>6.7</v>
      </c>
      <c r="C6" s="3">
        <v>120</v>
      </c>
      <c r="D6" s="3">
        <v>15</v>
      </c>
      <c r="E6" s="56">
        <v>4</v>
      </c>
      <c r="F6" s="56">
        <f t="shared" si="0"/>
        <v>480</v>
      </c>
      <c r="G6" t="s">
        <v>527</v>
      </c>
    </row>
    <row r="7" spans="1:7" x14ac:dyDescent="0.25">
      <c r="A7" t="s">
        <v>524</v>
      </c>
      <c r="B7" s="3">
        <v>8</v>
      </c>
      <c r="C7" s="3">
        <v>120</v>
      </c>
      <c r="D7" s="3">
        <v>15</v>
      </c>
      <c r="E7" s="56">
        <v>4</v>
      </c>
      <c r="F7" s="56">
        <f t="shared" si="0"/>
        <v>480</v>
      </c>
      <c r="G7" s="55" t="s">
        <v>528</v>
      </c>
    </row>
    <row r="8" spans="1:7" x14ac:dyDescent="0.25">
      <c r="A8" t="s">
        <v>524</v>
      </c>
      <c r="B8" s="3">
        <v>7.4</v>
      </c>
      <c r="C8" s="3">
        <v>120</v>
      </c>
      <c r="D8" s="3">
        <v>15</v>
      </c>
      <c r="E8" s="56">
        <v>4</v>
      </c>
      <c r="F8" s="56">
        <f t="shared" si="0"/>
        <v>480</v>
      </c>
      <c r="G8" t="s">
        <v>529</v>
      </c>
    </row>
    <row r="9" spans="1:7" x14ac:dyDescent="0.25">
      <c r="A9" t="s">
        <v>524</v>
      </c>
      <c r="B9" s="3">
        <v>6.2</v>
      </c>
      <c r="C9" s="3">
        <v>120</v>
      </c>
      <c r="D9" s="3">
        <v>15</v>
      </c>
      <c r="E9" s="56">
        <v>4</v>
      </c>
      <c r="F9" s="56">
        <f t="shared" si="0"/>
        <v>480</v>
      </c>
      <c r="G9" t="s">
        <v>530</v>
      </c>
    </row>
    <row r="10" spans="1:7" x14ac:dyDescent="0.25">
      <c r="A10" t="s">
        <v>524</v>
      </c>
      <c r="B10" s="3">
        <v>8</v>
      </c>
      <c r="C10" s="3">
        <v>120</v>
      </c>
      <c r="D10" s="3">
        <v>15</v>
      </c>
      <c r="E10" s="56">
        <v>4</v>
      </c>
      <c r="F10" s="56">
        <f t="shared" si="0"/>
        <v>480</v>
      </c>
      <c r="G10" t="s">
        <v>531</v>
      </c>
    </row>
    <row r="11" spans="1:7" x14ac:dyDescent="0.25">
      <c r="A11" t="s">
        <v>524</v>
      </c>
      <c r="B11" s="3">
        <v>9</v>
      </c>
      <c r="C11" s="3">
        <v>120</v>
      </c>
      <c r="D11" s="3">
        <v>15</v>
      </c>
      <c r="E11" s="56">
        <v>4</v>
      </c>
      <c r="F11" s="56">
        <f t="shared" si="0"/>
        <v>480</v>
      </c>
      <c r="G11" t="s">
        <v>532</v>
      </c>
    </row>
    <row r="12" spans="1:7" x14ac:dyDescent="0.25">
      <c r="A12" t="s">
        <v>524</v>
      </c>
      <c r="B12" s="3">
        <v>7</v>
      </c>
      <c r="C12" s="3">
        <v>120</v>
      </c>
      <c r="D12" s="3">
        <v>15</v>
      </c>
      <c r="E12" s="56">
        <v>4</v>
      </c>
      <c r="F12" s="56">
        <f t="shared" si="0"/>
        <v>480</v>
      </c>
      <c r="G12" t="s">
        <v>533</v>
      </c>
    </row>
    <row r="13" spans="1:7" x14ac:dyDescent="0.25">
      <c r="A13" t="s">
        <v>524</v>
      </c>
      <c r="B13" s="3">
        <v>7</v>
      </c>
      <c r="C13" s="3">
        <v>120</v>
      </c>
      <c r="D13" s="3">
        <v>15</v>
      </c>
      <c r="E13" s="56">
        <v>4</v>
      </c>
      <c r="F13" s="56">
        <f t="shared" si="0"/>
        <v>480</v>
      </c>
      <c r="G13" t="s">
        <v>534</v>
      </c>
    </row>
    <row r="14" spans="1:7" x14ac:dyDescent="0.25">
      <c r="A14" t="s">
        <v>524</v>
      </c>
      <c r="B14" s="3">
        <v>7</v>
      </c>
      <c r="C14" s="3">
        <v>120</v>
      </c>
      <c r="D14" s="3">
        <v>15</v>
      </c>
      <c r="E14" s="56">
        <v>4</v>
      </c>
      <c r="F14" s="56">
        <f t="shared" si="0"/>
        <v>480</v>
      </c>
      <c r="G14" t="s">
        <v>535</v>
      </c>
    </row>
    <row r="15" spans="1:7" x14ac:dyDescent="0.25">
      <c r="A15" t="s">
        <v>524</v>
      </c>
      <c r="B15" s="3">
        <v>7.4</v>
      </c>
      <c r="C15" s="3">
        <v>120</v>
      </c>
      <c r="D15" s="3">
        <v>15</v>
      </c>
      <c r="E15" s="56">
        <v>4</v>
      </c>
      <c r="F15" s="56">
        <f t="shared" si="0"/>
        <v>480</v>
      </c>
      <c r="G15" t="s">
        <v>536</v>
      </c>
    </row>
    <row r="16" spans="1:7" x14ac:dyDescent="0.25">
      <c r="A16" t="s">
        <v>524</v>
      </c>
      <c r="B16" s="3">
        <v>7.4</v>
      </c>
      <c r="C16" s="3">
        <v>120</v>
      </c>
      <c r="D16" s="3">
        <v>15</v>
      </c>
      <c r="E16" s="56">
        <v>4</v>
      </c>
      <c r="F16" s="56">
        <f t="shared" si="0"/>
        <v>480</v>
      </c>
      <c r="G16" t="s">
        <v>537</v>
      </c>
    </row>
    <row r="17" spans="1:7" x14ac:dyDescent="0.25">
      <c r="A17" t="s">
        <v>524</v>
      </c>
      <c r="B17" s="3">
        <v>7.4</v>
      </c>
      <c r="C17" s="3">
        <v>120</v>
      </c>
      <c r="D17" s="3">
        <v>15</v>
      </c>
      <c r="E17" s="56">
        <v>4</v>
      </c>
      <c r="F17" s="56">
        <f t="shared" si="0"/>
        <v>480</v>
      </c>
      <c r="G17" t="s">
        <v>538</v>
      </c>
    </row>
    <row r="18" spans="1:7" x14ac:dyDescent="0.25">
      <c r="A18" t="s">
        <v>524</v>
      </c>
      <c r="B18" s="3">
        <v>7.4</v>
      </c>
      <c r="C18" s="3">
        <v>120</v>
      </c>
      <c r="D18" s="3">
        <v>15</v>
      </c>
      <c r="E18" s="56">
        <v>4</v>
      </c>
      <c r="F18" s="56">
        <f t="shared" si="0"/>
        <v>480</v>
      </c>
      <c r="G18" t="s">
        <v>539</v>
      </c>
    </row>
    <row r="19" spans="1:7" x14ac:dyDescent="0.25">
      <c r="A19" t="s">
        <v>524</v>
      </c>
      <c r="B19" s="3">
        <v>7.4</v>
      </c>
      <c r="C19" s="3">
        <v>120</v>
      </c>
      <c r="D19" s="3">
        <v>15</v>
      </c>
      <c r="E19" s="56">
        <v>4</v>
      </c>
      <c r="F19" s="56">
        <f t="shared" si="0"/>
        <v>480</v>
      </c>
      <c r="G19" t="s">
        <v>540</v>
      </c>
    </row>
    <row r="20" spans="1:7" x14ac:dyDescent="0.25">
      <c r="A20" t="s">
        <v>524</v>
      </c>
      <c r="B20" s="3">
        <v>7.4</v>
      </c>
      <c r="C20" s="3">
        <v>120</v>
      </c>
      <c r="D20" s="3">
        <v>15</v>
      </c>
      <c r="E20" s="56">
        <v>4</v>
      </c>
      <c r="F20" s="56">
        <f t="shared" si="0"/>
        <v>480</v>
      </c>
      <c r="G20" t="s">
        <v>541</v>
      </c>
    </row>
    <row r="21" spans="1:7" x14ac:dyDescent="0.25">
      <c r="A21" t="s">
        <v>524</v>
      </c>
      <c r="B21" s="3">
        <v>7.4</v>
      </c>
      <c r="C21" s="3">
        <v>120</v>
      </c>
      <c r="D21" s="3">
        <v>15</v>
      </c>
      <c r="E21" s="56">
        <v>4</v>
      </c>
      <c r="F21" s="56">
        <f t="shared" si="0"/>
        <v>480</v>
      </c>
      <c r="G21" t="s">
        <v>542</v>
      </c>
    </row>
    <row r="22" spans="1:7" x14ac:dyDescent="0.25">
      <c r="A22" t="s">
        <v>524</v>
      </c>
      <c r="B22" s="3">
        <v>7.4</v>
      </c>
      <c r="C22" s="3">
        <v>120</v>
      </c>
      <c r="D22" s="3">
        <v>15</v>
      </c>
      <c r="E22" s="56">
        <v>4</v>
      </c>
      <c r="F22" s="56">
        <f t="shared" si="0"/>
        <v>480</v>
      </c>
      <c r="G22" t="s">
        <v>543</v>
      </c>
    </row>
    <row r="23" spans="1:7" x14ac:dyDescent="0.25">
      <c r="A23" t="s">
        <v>524</v>
      </c>
      <c r="B23" s="3">
        <v>7</v>
      </c>
      <c r="C23" s="3">
        <v>120</v>
      </c>
      <c r="D23" s="3">
        <v>15</v>
      </c>
      <c r="E23" s="56">
        <v>4</v>
      </c>
      <c r="F23" s="56">
        <f t="shared" si="0"/>
        <v>480</v>
      </c>
      <c r="G23" t="s">
        <v>544</v>
      </c>
    </row>
    <row r="24" spans="1:7" x14ac:dyDescent="0.25">
      <c r="A24" t="s">
        <v>524</v>
      </c>
      <c r="B24" s="3">
        <v>7.2</v>
      </c>
      <c r="C24" s="3">
        <v>120</v>
      </c>
      <c r="D24" s="3">
        <v>15</v>
      </c>
      <c r="E24" s="56">
        <v>4</v>
      </c>
      <c r="F24" s="56">
        <f t="shared" si="0"/>
        <v>480</v>
      </c>
      <c r="G24" t="s">
        <v>545</v>
      </c>
    </row>
    <row r="25" spans="1:7" x14ac:dyDescent="0.25">
      <c r="A25" t="s">
        <v>524</v>
      </c>
      <c r="B25" s="3">
        <v>7.3</v>
      </c>
      <c r="C25" s="3">
        <v>120</v>
      </c>
      <c r="D25" s="3">
        <v>15</v>
      </c>
      <c r="E25" s="56">
        <v>4</v>
      </c>
      <c r="F25" s="56">
        <f t="shared" si="0"/>
        <v>480</v>
      </c>
      <c r="G25" t="s">
        <v>546</v>
      </c>
    </row>
    <row r="26" spans="1:7" x14ac:dyDescent="0.25">
      <c r="A26" t="s">
        <v>524</v>
      </c>
      <c r="B26" s="3">
        <v>7.2</v>
      </c>
      <c r="C26" s="3">
        <v>120</v>
      </c>
      <c r="D26" s="3">
        <v>15</v>
      </c>
      <c r="E26" s="56">
        <v>4</v>
      </c>
      <c r="F26" s="56">
        <f t="shared" si="0"/>
        <v>480</v>
      </c>
      <c r="G26" t="s">
        <v>547</v>
      </c>
    </row>
    <row r="27" spans="1:7" x14ac:dyDescent="0.25">
      <c r="A27" t="s">
        <v>524</v>
      </c>
      <c r="B27" s="3">
        <v>7.2</v>
      </c>
      <c r="C27" s="3">
        <v>120</v>
      </c>
      <c r="D27" s="3">
        <v>15</v>
      </c>
      <c r="E27" s="56">
        <v>4</v>
      </c>
      <c r="F27" s="56">
        <f t="shared" si="0"/>
        <v>480</v>
      </c>
      <c r="G27" t="s">
        <v>548</v>
      </c>
    </row>
    <row r="28" spans="1:7" x14ac:dyDescent="0.25">
      <c r="A28" t="s">
        <v>524</v>
      </c>
      <c r="B28" s="3">
        <v>7.5</v>
      </c>
      <c r="C28" s="3">
        <v>120</v>
      </c>
      <c r="D28" s="3">
        <v>15</v>
      </c>
      <c r="E28" s="56">
        <v>4</v>
      </c>
      <c r="F28" s="56">
        <f t="shared" si="0"/>
        <v>480</v>
      </c>
      <c r="G28" t="s">
        <v>549</v>
      </c>
    </row>
    <row r="29" spans="1:7" x14ac:dyDescent="0.25">
      <c r="E29" s="56"/>
      <c r="F29" s="56"/>
    </row>
    <row r="30" spans="1:7" x14ac:dyDescent="0.25">
      <c r="A30" s="249" t="s">
        <v>550</v>
      </c>
      <c r="B30" s="249"/>
      <c r="C30" s="249"/>
      <c r="D30" s="249"/>
      <c r="E30" s="249"/>
      <c r="F30" s="249"/>
      <c r="G30" s="249"/>
    </row>
    <row r="31" spans="1:7" x14ac:dyDescent="0.25">
      <c r="A31" s="3"/>
      <c r="E31" s="56" t="s">
        <v>517</v>
      </c>
      <c r="F31" s="3"/>
      <c r="G31" s="3"/>
    </row>
    <row r="32" spans="1:7" ht="30" x14ac:dyDescent="0.25">
      <c r="A32" s="3" t="s">
        <v>518</v>
      </c>
      <c r="B32" s="3" t="s">
        <v>519</v>
      </c>
      <c r="C32" s="3" t="s">
        <v>344</v>
      </c>
      <c r="D32" s="4" t="s">
        <v>520</v>
      </c>
      <c r="E32" s="3" t="s">
        <v>521</v>
      </c>
      <c r="F32" s="3" t="s">
        <v>522</v>
      </c>
      <c r="G32" t="s">
        <v>523</v>
      </c>
    </row>
    <row r="33" spans="1:7" x14ac:dyDescent="0.25">
      <c r="A33" t="s">
        <v>63</v>
      </c>
      <c r="B33" s="3">
        <v>7.2</v>
      </c>
      <c r="C33" s="3">
        <v>240</v>
      </c>
      <c r="D33" s="3">
        <v>24</v>
      </c>
      <c r="F33" s="56">
        <f t="shared" ref="F33:F45" si="1">C33*E33</f>
        <v>0</v>
      </c>
      <c r="G33" t="s">
        <v>551</v>
      </c>
    </row>
    <row r="34" spans="1:7" x14ac:dyDescent="0.25">
      <c r="A34" t="s">
        <v>63</v>
      </c>
      <c r="B34" s="3">
        <v>7</v>
      </c>
      <c r="C34" s="3">
        <v>240</v>
      </c>
      <c r="D34" s="3">
        <v>30</v>
      </c>
      <c r="F34" s="56">
        <f t="shared" si="1"/>
        <v>0</v>
      </c>
      <c r="G34" t="s">
        <v>552</v>
      </c>
    </row>
    <row r="35" spans="1:7" x14ac:dyDescent="0.25">
      <c r="A35" t="s">
        <v>63</v>
      </c>
      <c r="B35" s="3">
        <v>7.5</v>
      </c>
      <c r="C35" s="3">
        <v>240</v>
      </c>
      <c r="D35" s="3">
        <v>30</v>
      </c>
      <c r="F35" s="56">
        <f t="shared" si="1"/>
        <v>0</v>
      </c>
      <c r="G35" t="s">
        <v>553</v>
      </c>
    </row>
    <row r="36" spans="1:7" x14ac:dyDescent="0.25">
      <c r="A36" t="s">
        <v>63</v>
      </c>
      <c r="B36" s="3">
        <v>7</v>
      </c>
      <c r="C36" s="3">
        <v>240</v>
      </c>
      <c r="D36" s="3">
        <v>30</v>
      </c>
      <c r="F36" s="56">
        <f t="shared" si="1"/>
        <v>0</v>
      </c>
      <c r="G36" t="s">
        <v>554</v>
      </c>
    </row>
    <row r="37" spans="1:7" x14ac:dyDescent="0.25">
      <c r="A37" t="s">
        <v>63</v>
      </c>
      <c r="B37" s="3">
        <v>7.4</v>
      </c>
      <c r="C37" s="3">
        <v>240</v>
      </c>
      <c r="D37" s="3">
        <v>24</v>
      </c>
      <c r="F37" s="56">
        <f t="shared" si="1"/>
        <v>0</v>
      </c>
      <c r="G37" t="s">
        <v>555</v>
      </c>
    </row>
    <row r="38" spans="1:7" x14ac:dyDescent="0.25">
      <c r="A38" t="s">
        <v>63</v>
      </c>
      <c r="B38" s="3">
        <v>6.7</v>
      </c>
      <c r="C38" s="3">
        <v>240</v>
      </c>
      <c r="D38" s="3">
        <v>24</v>
      </c>
      <c r="F38" s="56">
        <f t="shared" si="1"/>
        <v>0</v>
      </c>
      <c r="G38" t="s">
        <v>556</v>
      </c>
    </row>
    <row r="39" spans="1:7" x14ac:dyDescent="0.25">
      <c r="A39" t="s">
        <v>63</v>
      </c>
      <c r="B39" s="3">
        <v>6.5</v>
      </c>
      <c r="C39" s="3">
        <v>240</v>
      </c>
      <c r="D39" s="3">
        <v>30</v>
      </c>
      <c r="F39" s="56">
        <f t="shared" si="1"/>
        <v>0</v>
      </c>
      <c r="G39" t="s">
        <v>557</v>
      </c>
    </row>
    <row r="40" spans="1:7" x14ac:dyDescent="0.25">
      <c r="A40" t="s">
        <v>63</v>
      </c>
      <c r="B40" s="3">
        <v>7.3</v>
      </c>
      <c r="C40" s="3">
        <v>240</v>
      </c>
      <c r="D40" s="3">
        <v>30</v>
      </c>
      <c r="F40" s="56">
        <f t="shared" si="1"/>
        <v>0</v>
      </c>
      <c r="G40" t="s">
        <v>558</v>
      </c>
    </row>
    <row r="41" spans="1:7" x14ac:dyDescent="0.25">
      <c r="A41" t="s">
        <v>63</v>
      </c>
      <c r="B41" s="3">
        <v>8</v>
      </c>
      <c r="C41" s="3">
        <v>240</v>
      </c>
      <c r="D41" s="3">
        <v>25</v>
      </c>
      <c r="F41" s="56">
        <f t="shared" si="1"/>
        <v>0</v>
      </c>
      <c r="G41" t="s">
        <v>559</v>
      </c>
    </row>
    <row r="42" spans="1:7" x14ac:dyDescent="0.25">
      <c r="A42" t="s">
        <v>63</v>
      </c>
      <c r="B42" s="3">
        <v>7.8</v>
      </c>
      <c r="C42" s="3">
        <v>240</v>
      </c>
      <c r="D42" s="3">
        <v>25</v>
      </c>
      <c r="F42" s="56">
        <f t="shared" si="1"/>
        <v>0</v>
      </c>
      <c r="G42" t="s">
        <v>560</v>
      </c>
    </row>
    <row r="43" spans="1:7" x14ac:dyDescent="0.25">
      <c r="A43" t="s">
        <v>63</v>
      </c>
      <c r="B43" s="3">
        <v>8</v>
      </c>
      <c r="C43" s="3">
        <v>240</v>
      </c>
      <c r="D43" s="3">
        <v>25</v>
      </c>
      <c r="F43" s="56">
        <f t="shared" si="1"/>
        <v>0</v>
      </c>
      <c r="G43" t="s">
        <v>559</v>
      </c>
    </row>
    <row r="44" spans="1:7" x14ac:dyDescent="0.25">
      <c r="A44" t="s">
        <v>63</v>
      </c>
      <c r="B44" s="3">
        <v>4</v>
      </c>
      <c r="C44" s="3">
        <v>240</v>
      </c>
      <c r="D44" s="3">
        <v>30</v>
      </c>
      <c r="F44" s="56">
        <f t="shared" si="1"/>
        <v>0</v>
      </c>
      <c r="G44" t="s">
        <v>561</v>
      </c>
    </row>
    <row r="45" spans="1:7" x14ac:dyDescent="0.25">
      <c r="A45" t="s">
        <v>63</v>
      </c>
      <c r="B45" s="3">
        <v>9</v>
      </c>
      <c r="C45" s="3">
        <v>240</v>
      </c>
      <c r="D45" s="3">
        <v>30</v>
      </c>
      <c r="F45" s="56">
        <f t="shared" si="1"/>
        <v>0</v>
      </c>
      <c r="G45" t="s">
        <v>562</v>
      </c>
    </row>
    <row r="47" spans="1:7" x14ac:dyDescent="0.25">
      <c r="A47" s="249" t="s">
        <v>563</v>
      </c>
      <c r="B47" s="249"/>
      <c r="C47" s="249"/>
      <c r="D47" s="249"/>
      <c r="E47" s="249"/>
      <c r="F47" s="249"/>
      <c r="G47" s="249"/>
    </row>
    <row r="48" spans="1:7" x14ac:dyDescent="0.25">
      <c r="A48" s="3"/>
      <c r="E48" s="56" t="s">
        <v>517</v>
      </c>
      <c r="F48" s="3"/>
      <c r="G48" s="3"/>
    </row>
    <row r="49" spans="1:7" ht="30" x14ac:dyDescent="0.25">
      <c r="A49" s="3" t="s">
        <v>518</v>
      </c>
      <c r="B49" s="3" t="s">
        <v>519</v>
      </c>
      <c r="C49" s="3" t="s">
        <v>344</v>
      </c>
      <c r="D49" s="4" t="s">
        <v>520</v>
      </c>
      <c r="E49" s="3" t="s">
        <v>521</v>
      </c>
      <c r="F49" s="3" t="s">
        <v>522</v>
      </c>
      <c r="G49" t="s">
        <v>523</v>
      </c>
    </row>
    <row r="50" spans="1:7" x14ac:dyDescent="0.25">
      <c r="A50" t="s">
        <v>63</v>
      </c>
      <c r="B50" s="3">
        <v>4.2</v>
      </c>
      <c r="C50" s="3">
        <v>240</v>
      </c>
      <c r="D50" s="3">
        <v>30</v>
      </c>
      <c r="F50" s="56">
        <f>C50*E50</f>
        <v>0</v>
      </c>
      <c r="G50" t="s">
        <v>564</v>
      </c>
    </row>
    <row r="51" spans="1:7" x14ac:dyDescent="0.25">
      <c r="A51" t="s">
        <v>63</v>
      </c>
      <c r="B51" s="3">
        <v>4</v>
      </c>
      <c r="C51" s="3">
        <v>240</v>
      </c>
      <c r="D51" s="3" t="s">
        <v>148</v>
      </c>
      <c r="F51" s="56">
        <f>C51*E51</f>
        <v>0</v>
      </c>
      <c r="G51" t="s">
        <v>565</v>
      </c>
    </row>
    <row r="53" spans="1:7" x14ac:dyDescent="0.25">
      <c r="A53" s="249" t="s">
        <v>566</v>
      </c>
      <c r="B53" s="249"/>
      <c r="C53" s="249"/>
      <c r="D53" s="249"/>
      <c r="E53" s="249"/>
      <c r="F53" s="249"/>
      <c r="G53" s="249"/>
    </row>
    <row r="54" spans="1:7" x14ac:dyDescent="0.25">
      <c r="A54" s="3"/>
      <c r="E54" s="56" t="s">
        <v>517</v>
      </c>
      <c r="F54" s="3"/>
      <c r="G54" s="3"/>
    </row>
    <row r="55" spans="1:7" ht="30" x14ac:dyDescent="0.25">
      <c r="A55" s="3" t="s">
        <v>518</v>
      </c>
      <c r="B55" s="3" t="s">
        <v>519</v>
      </c>
      <c r="C55" s="3" t="s">
        <v>344</v>
      </c>
      <c r="D55" s="4" t="s">
        <v>520</v>
      </c>
      <c r="E55" s="3" t="s">
        <v>521</v>
      </c>
      <c r="F55" s="3" t="s">
        <v>522</v>
      </c>
      <c r="G55" t="s">
        <v>523</v>
      </c>
    </row>
    <row r="56" spans="1:7" x14ac:dyDescent="0.25">
      <c r="A56" t="s">
        <v>63</v>
      </c>
      <c r="B56" s="3">
        <v>4.8</v>
      </c>
      <c r="C56" s="3">
        <v>120</v>
      </c>
      <c r="D56" s="3">
        <v>15</v>
      </c>
      <c r="E56" s="3">
        <v>12</v>
      </c>
      <c r="F56" s="56">
        <f>C56*E56</f>
        <v>1440</v>
      </c>
      <c r="G56" t="s">
        <v>567</v>
      </c>
    </row>
    <row r="57" spans="1:7" x14ac:dyDescent="0.25">
      <c r="A57" t="s">
        <v>63</v>
      </c>
      <c r="B57" s="3">
        <v>5</v>
      </c>
      <c r="C57" s="3">
        <v>120</v>
      </c>
      <c r="D57" s="3">
        <v>12</v>
      </c>
      <c r="E57" s="3">
        <v>12</v>
      </c>
      <c r="F57" s="56">
        <f>C57*E57</f>
        <v>1440</v>
      </c>
      <c r="G57" t="s">
        <v>568</v>
      </c>
    </row>
    <row r="58" spans="1:7" x14ac:dyDescent="0.25">
      <c r="A58" t="s">
        <v>63</v>
      </c>
      <c r="B58" s="3">
        <v>5</v>
      </c>
      <c r="C58" s="3">
        <v>120</v>
      </c>
      <c r="D58" s="3">
        <v>12</v>
      </c>
      <c r="E58" s="3">
        <v>12</v>
      </c>
      <c r="F58" s="56">
        <f>C58*E58</f>
        <v>1440</v>
      </c>
      <c r="G58" t="s">
        <v>569</v>
      </c>
    </row>
    <row r="59" spans="1:7" ht="60" x14ac:dyDescent="0.25">
      <c r="A59" t="s">
        <v>63</v>
      </c>
      <c r="B59" s="4" t="s">
        <v>570</v>
      </c>
      <c r="C59" s="4" t="s">
        <v>571</v>
      </c>
      <c r="D59" s="3">
        <v>15</v>
      </c>
      <c r="F59" s="56" t="e">
        <f>C59*E59</f>
        <v>#VALUE!</v>
      </c>
      <c r="G59" t="s">
        <v>572</v>
      </c>
    </row>
    <row r="61" spans="1:7" x14ac:dyDescent="0.25">
      <c r="A61" s="249" t="s">
        <v>573</v>
      </c>
      <c r="B61" s="249"/>
      <c r="C61" s="249"/>
      <c r="D61" s="249"/>
      <c r="E61" s="249"/>
      <c r="F61" s="249"/>
      <c r="G61" s="249"/>
    </row>
    <row r="62" spans="1:7" x14ac:dyDescent="0.25">
      <c r="A62" s="3"/>
      <c r="E62" s="56" t="s">
        <v>517</v>
      </c>
      <c r="F62" s="3"/>
      <c r="G62" s="3"/>
    </row>
    <row r="63" spans="1:7" ht="30" x14ac:dyDescent="0.25">
      <c r="A63" s="3" t="s">
        <v>518</v>
      </c>
      <c r="B63" s="3" t="s">
        <v>519</v>
      </c>
      <c r="C63" s="3" t="s">
        <v>344</v>
      </c>
      <c r="D63" s="4" t="s">
        <v>520</v>
      </c>
      <c r="E63" s="3" t="s">
        <v>521</v>
      </c>
      <c r="F63" s="3" t="s">
        <v>522</v>
      </c>
      <c r="G63" t="s">
        <v>523</v>
      </c>
    </row>
    <row r="64" spans="1:7" x14ac:dyDescent="0.25">
      <c r="A64" t="s">
        <v>63</v>
      </c>
      <c r="B64" s="3">
        <v>4.0999999999999996</v>
      </c>
      <c r="C64" s="3">
        <v>120</v>
      </c>
      <c r="D64" s="3">
        <v>6</v>
      </c>
      <c r="F64" s="56">
        <f t="shared" ref="F64:F76" si="2">C64*E64</f>
        <v>0</v>
      </c>
      <c r="G64" t="s">
        <v>574</v>
      </c>
    </row>
    <row r="65" spans="1:7" x14ac:dyDescent="0.25">
      <c r="A65" t="s">
        <v>63</v>
      </c>
      <c r="B65" s="3">
        <v>5</v>
      </c>
      <c r="C65" s="3">
        <v>120</v>
      </c>
      <c r="D65" s="3">
        <v>15</v>
      </c>
      <c r="F65" s="56">
        <f t="shared" si="2"/>
        <v>0</v>
      </c>
      <c r="G65" t="s">
        <v>575</v>
      </c>
    </row>
    <row r="66" spans="1:7" x14ac:dyDescent="0.25">
      <c r="A66" t="s">
        <v>63</v>
      </c>
      <c r="B66" s="3">
        <v>5.5</v>
      </c>
      <c r="C66" s="3">
        <v>120</v>
      </c>
      <c r="D66" s="3">
        <v>15</v>
      </c>
      <c r="F66" s="56">
        <f t="shared" si="2"/>
        <v>0</v>
      </c>
      <c r="G66" t="s">
        <v>576</v>
      </c>
    </row>
    <row r="67" spans="1:7" x14ac:dyDescent="0.25">
      <c r="A67" t="s">
        <v>63</v>
      </c>
      <c r="B67" s="3">
        <v>3.7</v>
      </c>
      <c r="C67" s="3">
        <v>120</v>
      </c>
      <c r="D67" s="3">
        <v>6</v>
      </c>
      <c r="F67" s="56">
        <f t="shared" si="2"/>
        <v>0</v>
      </c>
      <c r="G67" t="s">
        <v>577</v>
      </c>
    </row>
    <row r="68" spans="1:7" x14ac:dyDescent="0.25">
      <c r="A68" t="s">
        <v>63</v>
      </c>
      <c r="B68" s="3">
        <v>2.4</v>
      </c>
      <c r="C68" s="3">
        <v>120</v>
      </c>
      <c r="D68" s="3">
        <v>10</v>
      </c>
      <c r="F68" s="56">
        <f t="shared" si="2"/>
        <v>0</v>
      </c>
      <c r="G68" t="s">
        <v>578</v>
      </c>
    </row>
    <row r="69" spans="1:7" x14ac:dyDescent="0.25">
      <c r="A69" t="s">
        <v>63</v>
      </c>
      <c r="B69" s="3">
        <v>4.5</v>
      </c>
      <c r="C69" s="3">
        <v>120</v>
      </c>
      <c r="D69" s="3">
        <v>10</v>
      </c>
      <c r="F69" s="56">
        <f t="shared" si="2"/>
        <v>0</v>
      </c>
      <c r="G69" t="s">
        <v>579</v>
      </c>
    </row>
    <row r="70" spans="1:7" x14ac:dyDescent="0.25">
      <c r="A70" t="s">
        <v>63</v>
      </c>
      <c r="B70" s="3">
        <v>4.2</v>
      </c>
      <c r="C70" s="3">
        <v>120</v>
      </c>
      <c r="D70" s="3">
        <v>15</v>
      </c>
      <c r="F70" s="56">
        <f t="shared" si="2"/>
        <v>0</v>
      </c>
      <c r="G70" t="s">
        <v>580</v>
      </c>
    </row>
    <row r="71" spans="1:7" x14ac:dyDescent="0.25">
      <c r="A71" t="s">
        <v>63</v>
      </c>
      <c r="B71" s="3">
        <v>5.2</v>
      </c>
      <c r="C71" s="3">
        <v>120</v>
      </c>
      <c r="D71" s="3">
        <v>15</v>
      </c>
      <c r="F71" s="56">
        <f t="shared" si="2"/>
        <v>0</v>
      </c>
      <c r="G71" t="s">
        <v>581</v>
      </c>
    </row>
    <row r="72" spans="1:7" x14ac:dyDescent="0.25">
      <c r="A72" t="s">
        <v>63</v>
      </c>
      <c r="B72" s="3">
        <v>3.2</v>
      </c>
      <c r="C72" s="3">
        <v>120</v>
      </c>
      <c r="D72" s="3">
        <v>7.7</v>
      </c>
      <c r="F72" s="56">
        <f t="shared" si="2"/>
        <v>0</v>
      </c>
      <c r="G72" t="s">
        <v>582</v>
      </c>
    </row>
    <row r="73" spans="1:7" x14ac:dyDescent="0.25">
      <c r="A73" t="s">
        <v>63</v>
      </c>
      <c r="B73" s="3">
        <v>6</v>
      </c>
      <c r="C73" s="3">
        <v>120</v>
      </c>
      <c r="D73" s="3">
        <v>15</v>
      </c>
      <c r="F73" s="56">
        <f t="shared" si="2"/>
        <v>0</v>
      </c>
      <c r="G73" t="s">
        <v>583</v>
      </c>
    </row>
    <row r="74" spans="1:7" x14ac:dyDescent="0.25">
      <c r="A74" t="s">
        <v>63</v>
      </c>
      <c r="B74" s="3">
        <v>2.5</v>
      </c>
      <c r="C74" s="3">
        <v>120</v>
      </c>
      <c r="D74" s="3">
        <v>15</v>
      </c>
      <c r="F74" s="56">
        <f t="shared" si="2"/>
        <v>0</v>
      </c>
      <c r="G74" t="s">
        <v>584</v>
      </c>
    </row>
    <row r="75" spans="1:7" x14ac:dyDescent="0.25">
      <c r="A75" t="s">
        <v>63</v>
      </c>
      <c r="B75" s="3">
        <v>5.8</v>
      </c>
      <c r="C75" s="3">
        <v>120</v>
      </c>
      <c r="D75" s="3">
        <v>10</v>
      </c>
      <c r="F75" s="56">
        <f t="shared" si="2"/>
        <v>0</v>
      </c>
      <c r="G75" t="s">
        <v>585</v>
      </c>
    </row>
    <row r="76" spans="1:7" x14ac:dyDescent="0.25">
      <c r="A76" t="s">
        <v>63</v>
      </c>
      <c r="B76" s="3">
        <v>2.7</v>
      </c>
      <c r="C76" s="3">
        <v>120</v>
      </c>
      <c r="D76" s="3">
        <v>11</v>
      </c>
      <c r="F76" s="56">
        <f t="shared" si="2"/>
        <v>0</v>
      </c>
      <c r="G76" t="s">
        <v>586</v>
      </c>
    </row>
    <row r="78" spans="1:7" x14ac:dyDescent="0.25">
      <c r="A78" s="249" t="s">
        <v>587</v>
      </c>
      <c r="B78" s="249"/>
      <c r="C78" s="249"/>
      <c r="D78" s="249"/>
      <c r="E78" s="249"/>
      <c r="F78" s="249"/>
      <c r="G78" s="249"/>
    </row>
    <row r="79" spans="1:7" x14ac:dyDescent="0.25">
      <c r="A79" s="3"/>
      <c r="E79" s="56" t="s">
        <v>517</v>
      </c>
      <c r="F79" s="3"/>
      <c r="G79" s="3"/>
    </row>
    <row r="80" spans="1:7" ht="30" x14ac:dyDescent="0.25">
      <c r="A80" s="3" t="s">
        <v>518</v>
      </c>
      <c r="B80" s="3" t="s">
        <v>519</v>
      </c>
      <c r="C80" s="3" t="s">
        <v>344</v>
      </c>
      <c r="D80" s="4" t="s">
        <v>520</v>
      </c>
      <c r="E80" s="3" t="s">
        <v>521</v>
      </c>
      <c r="F80" s="3" t="s">
        <v>522</v>
      </c>
      <c r="G80" t="s">
        <v>523</v>
      </c>
    </row>
    <row r="81" spans="1:7" x14ac:dyDescent="0.25">
      <c r="A81" t="s">
        <v>63</v>
      </c>
      <c r="B81" s="3">
        <v>6.3</v>
      </c>
      <c r="C81" s="3">
        <v>240</v>
      </c>
      <c r="D81" s="3">
        <v>40</v>
      </c>
      <c r="F81" s="56">
        <f t="shared" ref="F81:F89" si="3">C81*E81</f>
        <v>0</v>
      </c>
      <c r="G81" t="s">
        <v>588</v>
      </c>
    </row>
    <row r="82" spans="1:7" x14ac:dyDescent="0.25">
      <c r="A82" t="s">
        <v>63</v>
      </c>
      <c r="B82" s="3">
        <v>5.3</v>
      </c>
      <c r="C82" s="3">
        <v>240</v>
      </c>
      <c r="D82" s="3">
        <v>40</v>
      </c>
      <c r="F82" s="56">
        <f t="shared" si="3"/>
        <v>0</v>
      </c>
      <c r="G82" t="s">
        <v>589</v>
      </c>
    </row>
    <row r="83" spans="1:7" x14ac:dyDescent="0.25">
      <c r="A83" t="s">
        <v>63</v>
      </c>
      <c r="B83" s="3">
        <v>4.8</v>
      </c>
      <c r="C83" s="3">
        <v>120</v>
      </c>
      <c r="D83" s="3">
        <v>40</v>
      </c>
      <c r="F83" s="56">
        <f t="shared" si="3"/>
        <v>0</v>
      </c>
      <c r="G83" t="s">
        <v>590</v>
      </c>
    </row>
    <row r="84" spans="1:7" x14ac:dyDescent="0.25">
      <c r="A84" t="s">
        <v>63</v>
      </c>
      <c r="B84" s="3">
        <v>5</v>
      </c>
      <c r="C84" s="3">
        <v>240</v>
      </c>
      <c r="D84" s="3">
        <v>40</v>
      </c>
      <c r="F84" s="56">
        <f t="shared" si="3"/>
        <v>0</v>
      </c>
      <c r="G84" t="s">
        <v>591</v>
      </c>
    </row>
    <row r="85" spans="1:7" x14ac:dyDescent="0.25">
      <c r="A85" t="s">
        <v>63</v>
      </c>
      <c r="B85" s="3">
        <v>5.3</v>
      </c>
      <c r="C85" s="3">
        <v>240</v>
      </c>
      <c r="D85" s="3">
        <v>40</v>
      </c>
      <c r="F85" s="56">
        <f t="shared" si="3"/>
        <v>0</v>
      </c>
      <c r="G85" t="s">
        <v>592</v>
      </c>
    </row>
    <row r="86" spans="1:7" ht="30" x14ac:dyDescent="0.25">
      <c r="A86" t="s">
        <v>63</v>
      </c>
      <c r="B86" s="4" t="s">
        <v>593</v>
      </c>
      <c r="C86" s="3">
        <v>240</v>
      </c>
      <c r="D86" s="3">
        <v>40</v>
      </c>
      <c r="F86" s="56">
        <f t="shared" si="3"/>
        <v>0</v>
      </c>
      <c r="G86" t="s">
        <v>594</v>
      </c>
    </row>
    <row r="87" spans="1:7" ht="30" x14ac:dyDescent="0.25">
      <c r="A87" t="s">
        <v>63</v>
      </c>
      <c r="B87" s="4" t="s">
        <v>595</v>
      </c>
      <c r="C87" s="3">
        <v>220</v>
      </c>
      <c r="D87" s="3">
        <v>40</v>
      </c>
      <c r="F87" s="56">
        <f t="shared" si="3"/>
        <v>0</v>
      </c>
      <c r="G87" t="s">
        <v>596</v>
      </c>
    </row>
    <row r="88" spans="1:7" ht="30" x14ac:dyDescent="0.25">
      <c r="A88" t="s">
        <v>63</v>
      </c>
      <c r="B88" s="4" t="s">
        <v>597</v>
      </c>
      <c r="C88" s="3">
        <v>240</v>
      </c>
      <c r="D88" s="3">
        <v>65.8</v>
      </c>
      <c r="F88" s="56">
        <f t="shared" si="3"/>
        <v>0</v>
      </c>
      <c r="G88" t="s">
        <v>598</v>
      </c>
    </row>
    <row r="89" spans="1:7" x14ac:dyDescent="0.25">
      <c r="A89" t="s">
        <v>63</v>
      </c>
      <c r="B89" s="4">
        <v>4.8</v>
      </c>
      <c r="C89" s="3">
        <v>120</v>
      </c>
      <c r="D89" s="3">
        <v>40</v>
      </c>
      <c r="F89" s="56">
        <f t="shared" si="3"/>
        <v>0</v>
      </c>
      <c r="G89" t="s">
        <v>599</v>
      </c>
    </row>
    <row r="91" spans="1:7" x14ac:dyDescent="0.25">
      <c r="A91" s="249" t="s">
        <v>600</v>
      </c>
      <c r="B91" s="249"/>
      <c r="C91" s="249"/>
      <c r="D91" s="249"/>
      <c r="E91" s="249"/>
      <c r="F91" s="249"/>
      <c r="G91" s="249"/>
    </row>
    <row r="92" spans="1:7" x14ac:dyDescent="0.25">
      <c r="A92" s="3"/>
      <c r="E92" s="56" t="s">
        <v>517</v>
      </c>
      <c r="F92" s="3"/>
      <c r="G92" s="3"/>
    </row>
    <row r="93" spans="1:7" ht="30" x14ac:dyDescent="0.25">
      <c r="A93" s="3" t="s">
        <v>518</v>
      </c>
      <c r="B93" s="3" t="s">
        <v>519</v>
      </c>
      <c r="C93" s="3" t="s">
        <v>344</v>
      </c>
      <c r="D93" s="4" t="s">
        <v>520</v>
      </c>
      <c r="E93" s="3" t="s">
        <v>521</v>
      </c>
      <c r="F93" s="3" t="s">
        <v>522</v>
      </c>
      <c r="G93" t="s">
        <v>523</v>
      </c>
    </row>
    <row r="94" spans="1:7" x14ac:dyDescent="0.25">
      <c r="A94" t="s">
        <v>524</v>
      </c>
      <c r="B94" s="3">
        <v>6</v>
      </c>
      <c r="D94" s="41" t="s">
        <v>601</v>
      </c>
      <c r="E94" s="56">
        <v>4</v>
      </c>
      <c r="F94" s="56">
        <f>E94*120</f>
        <v>480</v>
      </c>
      <c r="G94" t="s">
        <v>602</v>
      </c>
    </row>
    <row r="95" spans="1:7" x14ac:dyDescent="0.25">
      <c r="A95" t="s">
        <v>524</v>
      </c>
      <c r="B95" s="3">
        <v>5</v>
      </c>
      <c r="D95" s="41" t="s">
        <v>601</v>
      </c>
      <c r="E95" s="56">
        <v>4</v>
      </c>
      <c r="F95" s="56">
        <f t="shared" ref="F95:F100" si="4">E95*120</f>
        <v>480</v>
      </c>
      <c r="G95" t="s">
        <v>603</v>
      </c>
    </row>
    <row r="96" spans="1:7" x14ac:dyDescent="0.25">
      <c r="A96" t="s">
        <v>524</v>
      </c>
      <c r="B96" s="3">
        <v>5.8</v>
      </c>
      <c r="D96" s="41" t="s">
        <v>601</v>
      </c>
      <c r="E96" s="56">
        <v>4</v>
      </c>
      <c r="F96" s="56">
        <f t="shared" si="4"/>
        <v>480</v>
      </c>
      <c r="G96" t="s">
        <v>604</v>
      </c>
    </row>
    <row r="97" spans="1:9" x14ac:dyDescent="0.25">
      <c r="A97" t="s">
        <v>524</v>
      </c>
      <c r="B97" s="3">
        <v>5.0999999999999996</v>
      </c>
      <c r="D97" s="41" t="s">
        <v>601</v>
      </c>
      <c r="E97" s="56">
        <v>4</v>
      </c>
      <c r="F97" s="56">
        <f t="shared" si="4"/>
        <v>480</v>
      </c>
      <c r="G97" t="s">
        <v>605</v>
      </c>
    </row>
    <row r="98" spans="1:9" x14ac:dyDescent="0.25">
      <c r="A98" t="s">
        <v>524</v>
      </c>
      <c r="B98" s="3">
        <v>4.8</v>
      </c>
      <c r="D98" s="41" t="s">
        <v>601</v>
      </c>
      <c r="E98" s="56">
        <v>4</v>
      </c>
      <c r="F98" s="56">
        <f t="shared" si="4"/>
        <v>480</v>
      </c>
      <c r="G98" t="s">
        <v>606</v>
      </c>
    </row>
    <row r="99" spans="1:9" ht="30" x14ac:dyDescent="0.25">
      <c r="A99" t="s">
        <v>524</v>
      </c>
      <c r="B99" s="4" t="s">
        <v>607</v>
      </c>
      <c r="D99" s="41" t="s">
        <v>601</v>
      </c>
      <c r="E99" s="56">
        <v>4</v>
      </c>
      <c r="F99" s="56">
        <f t="shared" si="4"/>
        <v>480</v>
      </c>
      <c r="G99" t="s">
        <v>608</v>
      </c>
    </row>
    <row r="100" spans="1:9" ht="30" x14ac:dyDescent="0.25">
      <c r="A100" t="s">
        <v>524</v>
      </c>
      <c r="B100" s="4" t="s">
        <v>609</v>
      </c>
      <c r="D100" s="41" t="s">
        <v>601</v>
      </c>
      <c r="E100" s="56">
        <v>4</v>
      </c>
      <c r="F100" s="56">
        <f t="shared" si="4"/>
        <v>480</v>
      </c>
      <c r="G100" t="s">
        <v>610</v>
      </c>
    </row>
    <row r="102" spans="1:9" x14ac:dyDescent="0.25">
      <c r="A102" s="249" t="s">
        <v>611</v>
      </c>
      <c r="B102" s="249"/>
      <c r="C102" s="249"/>
      <c r="D102" s="249"/>
      <c r="E102" s="249"/>
      <c r="F102" s="249"/>
      <c r="G102" s="249"/>
    </row>
    <row r="103" spans="1:9" x14ac:dyDescent="0.25">
      <c r="A103" s="3"/>
      <c r="E103" s="56" t="s">
        <v>517</v>
      </c>
      <c r="F103" s="3"/>
      <c r="G103" s="3"/>
    </row>
    <row r="104" spans="1:9" ht="30" x14ac:dyDescent="0.25">
      <c r="A104" s="3" t="s">
        <v>518</v>
      </c>
      <c r="B104" s="3" t="s">
        <v>519</v>
      </c>
      <c r="C104" s="3" t="s">
        <v>344</v>
      </c>
      <c r="D104" s="4" t="s">
        <v>520</v>
      </c>
      <c r="E104" s="3" t="s">
        <v>521</v>
      </c>
      <c r="F104" s="3" t="s">
        <v>522</v>
      </c>
      <c r="G104" t="s">
        <v>523</v>
      </c>
    </row>
    <row r="105" spans="1:9" x14ac:dyDescent="0.25">
      <c r="A105" t="s">
        <v>524</v>
      </c>
      <c r="B105" s="3">
        <v>2.8</v>
      </c>
      <c r="G105" t="s">
        <v>612</v>
      </c>
    </row>
    <row r="107" spans="1:9" x14ac:dyDescent="0.25">
      <c r="A107" s="249" t="s">
        <v>613</v>
      </c>
      <c r="B107" s="249"/>
      <c r="C107" s="249"/>
      <c r="D107" s="249"/>
      <c r="E107" s="249"/>
      <c r="F107" s="249"/>
      <c r="G107" s="249"/>
    </row>
    <row r="108" spans="1:9" x14ac:dyDescent="0.25">
      <c r="A108" s="3"/>
      <c r="E108" s="56" t="s">
        <v>517</v>
      </c>
      <c r="F108" s="3"/>
      <c r="G108" s="3"/>
    </row>
    <row r="109" spans="1:9" ht="30" x14ac:dyDescent="0.25">
      <c r="A109" s="3" t="s">
        <v>518</v>
      </c>
      <c r="B109" s="3" t="s">
        <v>519</v>
      </c>
      <c r="C109" s="3" t="s">
        <v>344</v>
      </c>
      <c r="D109" s="4" t="s">
        <v>520</v>
      </c>
      <c r="E109" s="3" t="s">
        <v>521</v>
      </c>
      <c r="F109" s="3" t="s">
        <v>522</v>
      </c>
      <c r="H109" s="3" t="s">
        <v>522</v>
      </c>
      <c r="I109" t="s">
        <v>523</v>
      </c>
    </row>
    <row r="110" spans="1:9" x14ac:dyDescent="0.25">
      <c r="A110" t="s">
        <v>63</v>
      </c>
      <c r="B110" s="3">
        <v>5</v>
      </c>
      <c r="C110" s="3">
        <v>240</v>
      </c>
      <c r="D110" s="3">
        <v>20</v>
      </c>
      <c r="F110" s="3">
        <v>3840</v>
      </c>
      <c r="H110" s="3" t="s">
        <v>614</v>
      </c>
      <c r="I110" t="s">
        <v>615</v>
      </c>
    </row>
    <row r="111" spans="1:9" x14ac:dyDescent="0.25">
      <c r="A111" t="s">
        <v>63</v>
      </c>
      <c r="B111" s="3">
        <v>1.6</v>
      </c>
      <c r="C111" s="3">
        <v>240</v>
      </c>
      <c r="E111" s="3">
        <v>11.5</v>
      </c>
      <c r="F111" s="3">
        <f>E111*240</f>
        <v>2760</v>
      </c>
      <c r="H111" s="3">
        <v>2550</v>
      </c>
      <c r="I111" t="s">
        <v>616</v>
      </c>
    </row>
    <row r="112" spans="1:9" x14ac:dyDescent="0.25">
      <c r="A112" t="s">
        <v>63</v>
      </c>
      <c r="B112" s="3">
        <v>4.3</v>
      </c>
      <c r="C112" s="3">
        <v>240</v>
      </c>
      <c r="D112" s="3">
        <v>20</v>
      </c>
      <c r="F112" s="3">
        <v>3840</v>
      </c>
      <c r="H112" s="3" t="s">
        <v>617</v>
      </c>
      <c r="I112" t="s">
        <v>618</v>
      </c>
    </row>
    <row r="113" spans="1:9" x14ac:dyDescent="0.25">
      <c r="A113" t="s">
        <v>63</v>
      </c>
      <c r="B113" s="3">
        <v>5.3</v>
      </c>
      <c r="I113" t="s">
        <v>619</v>
      </c>
    </row>
    <row r="114" spans="1:9" x14ac:dyDescent="0.25">
      <c r="A114" t="s">
        <v>63</v>
      </c>
      <c r="B114" s="3">
        <v>2.7</v>
      </c>
      <c r="C114" s="3">
        <v>240</v>
      </c>
      <c r="D114" s="3">
        <v>20</v>
      </c>
      <c r="F114" s="3">
        <v>3840</v>
      </c>
      <c r="H114" s="3" t="s">
        <v>620</v>
      </c>
      <c r="I114" t="s">
        <v>621</v>
      </c>
    </row>
    <row r="115" spans="1:9" x14ac:dyDescent="0.25">
      <c r="A115" t="s">
        <v>63</v>
      </c>
      <c r="B115" s="3">
        <v>4.3</v>
      </c>
      <c r="C115" s="3">
        <v>230</v>
      </c>
      <c r="F115" s="3">
        <v>3840</v>
      </c>
      <c r="H115" s="3">
        <v>3600</v>
      </c>
      <c r="I115" t="s">
        <v>622</v>
      </c>
    </row>
    <row r="116" spans="1:9" x14ac:dyDescent="0.25">
      <c r="A116" t="s">
        <v>63</v>
      </c>
      <c r="B116" s="3">
        <v>5</v>
      </c>
      <c r="C116" s="3">
        <v>240</v>
      </c>
      <c r="D116" s="3">
        <v>20</v>
      </c>
      <c r="F116" s="3">
        <v>3840</v>
      </c>
      <c r="H116" s="3">
        <v>4100</v>
      </c>
      <c r="I116" t="s">
        <v>623</v>
      </c>
    </row>
    <row r="117" spans="1:9" x14ac:dyDescent="0.25">
      <c r="A117" t="s">
        <v>63</v>
      </c>
      <c r="B117" s="3">
        <v>5</v>
      </c>
      <c r="C117" s="3">
        <v>240</v>
      </c>
      <c r="D117" s="3">
        <v>20</v>
      </c>
      <c r="I117" t="s">
        <v>624</v>
      </c>
    </row>
    <row r="118" spans="1:9" x14ac:dyDescent="0.25">
      <c r="A118" t="s">
        <v>63</v>
      </c>
      <c r="B118" s="3">
        <v>4.7</v>
      </c>
      <c r="C118" s="3">
        <v>240</v>
      </c>
      <c r="E118" s="3">
        <v>25.4</v>
      </c>
      <c r="F118" s="3">
        <f>E118*240</f>
        <v>6096</v>
      </c>
      <c r="H118" s="3">
        <v>4600</v>
      </c>
      <c r="I118" t="s">
        <v>625</v>
      </c>
    </row>
    <row r="120" spans="1:9" x14ac:dyDescent="0.25">
      <c r="A120" s="249" t="s">
        <v>626</v>
      </c>
      <c r="B120" s="249"/>
      <c r="C120" s="249"/>
      <c r="D120" s="249"/>
      <c r="E120" s="249"/>
      <c r="F120" s="249"/>
      <c r="G120" s="249"/>
    </row>
    <row r="121" spans="1:9" x14ac:dyDescent="0.25">
      <c r="A121" s="3"/>
      <c r="E121" s="56" t="s">
        <v>517</v>
      </c>
      <c r="F121" s="3"/>
      <c r="G121" s="3"/>
    </row>
    <row r="122" spans="1:9" ht="30" x14ac:dyDescent="0.25">
      <c r="A122" s="3" t="s">
        <v>518</v>
      </c>
      <c r="B122" s="3" t="s">
        <v>519</v>
      </c>
      <c r="C122" s="3" t="s">
        <v>344</v>
      </c>
      <c r="D122" s="4" t="s">
        <v>520</v>
      </c>
      <c r="E122" s="3" t="s">
        <v>521</v>
      </c>
      <c r="F122" s="3" t="s">
        <v>522</v>
      </c>
      <c r="H122" s="3" t="s">
        <v>522</v>
      </c>
      <c r="I122" t="s">
        <v>523</v>
      </c>
    </row>
    <row r="123" spans="1:9" x14ac:dyDescent="0.25">
      <c r="A123" t="s">
        <v>63</v>
      </c>
      <c r="B123" s="3">
        <v>5.3</v>
      </c>
      <c r="F123" s="3"/>
      <c r="I123" t="s">
        <v>627</v>
      </c>
    </row>
    <row r="124" spans="1:9" x14ac:dyDescent="0.25">
      <c r="A124" t="s">
        <v>63</v>
      </c>
      <c r="B124" s="3">
        <v>4.7</v>
      </c>
      <c r="C124" s="3">
        <v>240</v>
      </c>
      <c r="D124" s="3">
        <v>40</v>
      </c>
      <c r="H124" s="3">
        <v>9200</v>
      </c>
      <c r="I124" t="s">
        <v>628</v>
      </c>
    </row>
    <row r="125" spans="1:9" x14ac:dyDescent="0.25">
      <c r="A125" t="s">
        <v>63</v>
      </c>
      <c r="B125" s="3">
        <v>4.3</v>
      </c>
      <c r="C125" s="3">
        <v>240</v>
      </c>
      <c r="D125" s="3">
        <v>40</v>
      </c>
      <c r="H125" s="3" t="s">
        <v>617</v>
      </c>
      <c r="I125" t="s">
        <v>629</v>
      </c>
    </row>
    <row r="126" spans="1:9" x14ac:dyDescent="0.25">
      <c r="A126" t="s">
        <v>63</v>
      </c>
      <c r="B126" s="3">
        <v>5</v>
      </c>
      <c r="C126" s="3">
        <v>240</v>
      </c>
      <c r="D126" s="3">
        <v>40</v>
      </c>
      <c r="I126" t="s">
        <v>630</v>
      </c>
    </row>
    <row r="127" spans="1:9" x14ac:dyDescent="0.25">
      <c r="A127" t="s">
        <v>63</v>
      </c>
      <c r="B127" s="3">
        <v>5</v>
      </c>
      <c r="H127" s="3" t="s">
        <v>631</v>
      </c>
      <c r="I127" t="s">
        <v>632</v>
      </c>
    </row>
    <row r="128" spans="1:9" x14ac:dyDescent="0.25">
      <c r="A128" t="s">
        <v>63</v>
      </c>
      <c r="B128" s="3">
        <v>5</v>
      </c>
      <c r="C128" s="3">
        <v>240</v>
      </c>
      <c r="D128" s="3">
        <v>40</v>
      </c>
      <c r="I128" t="s">
        <v>633</v>
      </c>
    </row>
    <row r="129" spans="1:9" x14ac:dyDescent="0.25">
      <c r="A129" t="s">
        <v>63</v>
      </c>
      <c r="B129" s="3">
        <v>4.0999999999999996</v>
      </c>
      <c r="I129" t="s">
        <v>634</v>
      </c>
    </row>
    <row r="130" spans="1:9" x14ac:dyDescent="0.25">
      <c r="A130" t="s">
        <v>63</v>
      </c>
      <c r="B130" s="3">
        <v>4.8</v>
      </c>
      <c r="C130" s="3">
        <v>240</v>
      </c>
      <c r="D130" s="3">
        <v>50</v>
      </c>
      <c r="H130" s="3" t="s">
        <v>635</v>
      </c>
      <c r="I130" t="s">
        <v>636</v>
      </c>
    </row>
    <row r="131" spans="1:9" x14ac:dyDescent="0.25">
      <c r="A131" t="s">
        <v>63</v>
      </c>
      <c r="B131" s="3">
        <v>3.6</v>
      </c>
      <c r="C131" s="3">
        <v>230</v>
      </c>
      <c r="D131" s="3">
        <v>50</v>
      </c>
      <c r="H131" s="3" t="s">
        <v>637</v>
      </c>
      <c r="I131" t="s">
        <v>638</v>
      </c>
    </row>
    <row r="132" spans="1:9" x14ac:dyDescent="0.25">
      <c r="A132" t="s">
        <v>63</v>
      </c>
      <c r="B132" s="3">
        <v>4.3</v>
      </c>
      <c r="C132" s="3">
        <v>230</v>
      </c>
      <c r="H132" s="3">
        <v>7200</v>
      </c>
      <c r="I132" t="s">
        <v>639</v>
      </c>
    </row>
    <row r="134" spans="1:9" x14ac:dyDescent="0.25">
      <c r="A134" s="249" t="s">
        <v>640</v>
      </c>
      <c r="B134" s="249"/>
      <c r="C134" s="249"/>
      <c r="D134" s="249"/>
      <c r="E134" s="249"/>
      <c r="F134" s="249"/>
      <c r="G134" s="249"/>
    </row>
    <row r="135" spans="1:9" x14ac:dyDescent="0.25">
      <c r="A135" s="3"/>
      <c r="E135" s="56" t="s">
        <v>517</v>
      </c>
      <c r="F135" s="3"/>
      <c r="G135" s="3"/>
    </row>
    <row r="136" spans="1:9" ht="30" x14ac:dyDescent="0.25">
      <c r="A136" s="3" t="s">
        <v>518</v>
      </c>
      <c r="B136" s="3" t="s">
        <v>641</v>
      </c>
      <c r="C136" s="3" t="s">
        <v>344</v>
      </c>
      <c r="D136" s="4" t="s">
        <v>520</v>
      </c>
      <c r="E136" s="3" t="s">
        <v>521</v>
      </c>
      <c r="F136" s="3" t="s">
        <v>642</v>
      </c>
      <c r="G136" t="s">
        <v>523</v>
      </c>
    </row>
    <row r="137" spans="1:9" x14ac:dyDescent="0.25">
      <c r="A137" t="s">
        <v>524</v>
      </c>
      <c r="B137" s="3">
        <v>30</v>
      </c>
      <c r="G137" t="s">
        <v>643</v>
      </c>
    </row>
    <row r="138" spans="1:9" x14ac:dyDescent="0.25">
      <c r="A138" t="s">
        <v>524</v>
      </c>
      <c r="B138" s="3">
        <v>37</v>
      </c>
      <c r="F138">
        <v>58500</v>
      </c>
      <c r="G138" t="s">
        <v>644</v>
      </c>
    </row>
    <row r="139" spans="1:9" x14ac:dyDescent="0.25">
      <c r="A139" t="s">
        <v>524</v>
      </c>
      <c r="B139" s="3">
        <v>30</v>
      </c>
      <c r="G139" t="s">
        <v>645</v>
      </c>
    </row>
    <row r="140" spans="1:9" x14ac:dyDescent="0.25">
      <c r="A140" t="s">
        <v>524</v>
      </c>
      <c r="B140" s="3">
        <v>36</v>
      </c>
      <c r="F140">
        <v>55000</v>
      </c>
      <c r="G140" t="s">
        <v>646</v>
      </c>
    </row>
    <row r="141" spans="1:9" x14ac:dyDescent="0.25">
      <c r="A141" t="s">
        <v>524</v>
      </c>
      <c r="B141" s="3">
        <v>36</v>
      </c>
      <c r="G141" t="s">
        <v>647</v>
      </c>
    </row>
    <row r="142" spans="1:9" x14ac:dyDescent="0.25">
      <c r="A142" t="s">
        <v>524</v>
      </c>
      <c r="B142" s="3">
        <v>30</v>
      </c>
      <c r="G142" t="s">
        <v>648</v>
      </c>
    </row>
    <row r="143" spans="1:9" x14ac:dyDescent="0.25">
      <c r="A143" t="s">
        <v>524</v>
      </c>
      <c r="B143" s="3">
        <v>36</v>
      </c>
      <c r="F143">
        <v>59000</v>
      </c>
      <c r="G143" t="s">
        <v>649</v>
      </c>
    </row>
    <row r="144" spans="1:9" x14ac:dyDescent="0.25">
      <c r="A144" t="s">
        <v>524</v>
      </c>
      <c r="B144" s="3">
        <v>30</v>
      </c>
      <c r="G144" t="s">
        <v>650</v>
      </c>
    </row>
    <row r="146" spans="1:9" x14ac:dyDescent="0.25">
      <c r="A146" s="249" t="s">
        <v>651</v>
      </c>
      <c r="B146" s="249"/>
      <c r="C146" s="249"/>
      <c r="D146" s="249"/>
      <c r="E146" s="249"/>
      <c r="F146" s="249"/>
      <c r="G146" s="249"/>
    </row>
    <row r="147" spans="1:9" x14ac:dyDescent="0.25">
      <c r="A147" s="3"/>
      <c r="E147" s="56" t="s">
        <v>517</v>
      </c>
      <c r="F147" s="3"/>
      <c r="G147" s="3"/>
    </row>
    <row r="148" spans="1:9" ht="30" x14ac:dyDescent="0.25">
      <c r="A148" s="3" t="s">
        <v>518</v>
      </c>
      <c r="B148" s="3" t="s">
        <v>641</v>
      </c>
      <c r="C148" s="3" t="s">
        <v>344</v>
      </c>
      <c r="D148" s="4" t="s">
        <v>520</v>
      </c>
      <c r="E148" s="3" t="s">
        <v>521</v>
      </c>
      <c r="F148" s="3" t="s">
        <v>522</v>
      </c>
      <c r="G148" s="3"/>
      <c r="H148" s="3" t="s">
        <v>522</v>
      </c>
      <c r="I148" s="20" t="s">
        <v>523</v>
      </c>
    </row>
    <row r="149" spans="1:9" x14ac:dyDescent="0.25">
      <c r="A149" t="s">
        <v>63</v>
      </c>
      <c r="B149" s="3">
        <v>30</v>
      </c>
      <c r="C149" s="3">
        <v>240</v>
      </c>
      <c r="D149" s="3">
        <v>40</v>
      </c>
      <c r="G149" s="3"/>
      <c r="H149" s="3">
        <v>7500</v>
      </c>
      <c r="I149" s="20" t="s">
        <v>652</v>
      </c>
    </row>
    <row r="150" spans="1:9" x14ac:dyDescent="0.25">
      <c r="A150" t="s">
        <v>63</v>
      </c>
      <c r="B150" s="3">
        <v>30</v>
      </c>
      <c r="C150" s="3">
        <v>240</v>
      </c>
      <c r="I150" s="20" t="s">
        <v>653</v>
      </c>
    </row>
    <row r="151" spans="1:9" x14ac:dyDescent="0.25">
      <c r="A151" t="s">
        <v>63</v>
      </c>
      <c r="B151" s="3">
        <v>30</v>
      </c>
      <c r="C151" s="3">
        <v>240</v>
      </c>
      <c r="D151" s="3">
        <v>38.299999999999997</v>
      </c>
      <c r="H151" s="3">
        <v>9.1999999999999993</v>
      </c>
      <c r="I151" s="20" t="s">
        <v>654</v>
      </c>
    </row>
    <row r="152" spans="1:9" x14ac:dyDescent="0.25">
      <c r="A152" t="s">
        <v>63</v>
      </c>
      <c r="B152" s="3">
        <v>30</v>
      </c>
      <c r="C152" s="3">
        <v>240</v>
      </c>
      <c r="D152" s="3">
        <v>40</v>
      </c>
      <c r="H152" s="3">
        <v>7700</v>
      </c>
      <c r="I152" s="20" t="s">
        <v>655</v>
      </c>
    </row>
    <row r="153" spans="1:9" x14ac:dyDescent="0.25">
      <c r="A153" t="s">
        <v>63</v>
      </c>
      <c r="B153" s="3">
        <v>30</v>
      </c>
      <c r="C153" s="3">
        <v>240</v>
      </c>
      <c r="D153" s="3">
        <v>40</v>
      </c>
      <c r="H153" s="3">
        <v>2500</v>
      </c>
      <c r="I153" s="20" t="s">
        <v>656</v>
      </c>
    </row>
    <row r="155" spans="1:9" x14ac:dyDescent="0.25">
      <c r="A155" s="249" t="s">
        <v>657</v>
      </c>
      <c r="B155" s="249"/>
      <c r="C155" s="249"/>
      <c r="D155" s="249"/>
      <c r="E155" s="249"/>
      <c r="F155" s="249"/>
      <c r="G155" s="249"/>
    </row>
    <row r="156" spans="1:9" x14ac:dyDescent="0.25">
      <c r="A156" s="3"/>
      <c r="E156" s="56" t="s">
        <v>517</v>
      </c>
      <c r="F156" s="3"/>
      <c r="G156" s="3"/>
    </row>
    <row r="157" spans="1:9" ht="30" x14ac:dyDescent="0.25">
      <c r="A157" s="3" t="s">
        <v>518</v>
      </c>
      <c r="B157" s="3" t="s">
        <v>658</v>
      </c>
      <c r="C157" s="3" t="s">
        <v>344</v>
      </c>
      <c r="D157" s="4" t="s">
        <v>520</v>
      </c>
      <c r="E157" s="3" t="s">
        <v>521</v>
      </c>
      <c r="F157" s="3" t="s">
        <v>522</v>
      </c>
      <c r="H157" s="3" t="s">
        <v>522</v>
      </c>
      <c r="I157" t="s">
        <v>523</v>
      </c>
    </row>
    <row r="158" spans="1:9" x14ac:dyDescent="0.25">
      <c r="A158" t="s">
        <v>63</v>
      </c>
      <c r="B158" s="3" t="s">
        <v>659</v>
      </c>
      <c r="C158" s="3">
        <v>240</v>
      </c>
      <c r="D158" s="3">
        <v>18.75</v>
      </c>
      <c r="F158">
        <f>D158*C158</f>
        <v>4500</v>
      </c>
      <c r="H158" s="3">
        <v>4500</v>
      </c>
      <c r="I158" t="s">
        <v>660</v>
      </c>
    </row>
    <row r="159" spans="1:9" x14ac:dyDescent="0.25">
      <c r="A159" t="s">
        <v>63</v>
      </c>
      <c r="B159" s="3" t="s">
        <v>661</v>
      </c>
      <c r="C159" s="3">
        <v>240</v>
      </c>
      <c r="D159" s="3">
        <v>18.75</v>
      </c>
      <c r="H159" s="3">
        <v>4500</v>
      </c>
      <c r="I159" t="s">
        <v>662</v>
      </c>
    </row>
    <row r="160" spans="1:9" x14ac:dyDescent="0.25">
      <c r="A160" t="s">
        <v>63</v>
      </c>
      <c r="B160" s="3" t="s">
        <v>663</v>
      </c>
      <c r="C160" s="3">
        <v>240</v>
      </c>
      <c r="D160" s="3">
        <v>18.75</v>
      </c>
      <c r="H160" s="3">
        <v>4500</v>
      </c>
      <c r="I160" t="s">
        <v>664</v>
      </c>
    </row>
    <row r="161" spans="1:9" x14ac:dyDescent="0.25">
      <c r="A161" t="s">
        <v>63</v>
      </c>
      <c r="B161" s="3" t="s">
        <v>665</v>
      </c>
      <c r="C161" s="3">
        <v>240</v>
      </c>
      <c r="D161" s="3">
        <v>18.75</v>
      </c>
      <c r="H161" s="3">
        <v>4500</v>
      </c>
      <c r="I161" t="s">
        <v>666</v>
      </c>
    </row>
    <row r="162" spans="1:9" x14ac:dyDescent="0.25">
      <c r="A162" t="s">
        <v>63</v>
      </c>
      <c r="B162" s="3" t="s">
        <v>667</v>
      </c>
      <c r="C162" s="3">
        <v>120</v>
      </c>
      <c r="D162" s="3">
        <v>16.670000000000002</v>
      </c>
      <c r="H162" s="3">
        <v>2000</v>
      </c>
      <c r="I162" t="s">
        <v>668</v>
      </c>
    </row>
    <row r="163" spans="1:9" x14ac:dyDescent="0.25">
      <c r="A163" t="s">
        <v>63</v>
      </c>
      <c r="B163" s="3" t="s">
        <v>661</v>
      </c>
      <c r="C163" s="3">
        <v>240</v>
      </c>
      <c r="D163" s="3">
        <v>22.92</v>
      </c>
      <c r="H163" s="3">
        <v>5500</v>
      </c>
      <c r="I163" t="s">
        <v>669</v>
      </c>
    </row>
    <row r="164" spans="1:9" x14ac:dyDescent="0.25">
      <c r="A164" t="s">
        <v>63</v>
      </c>
      <c r="B164" s="3" t="s">
        <v>659</v>
      </c>
      <c r="C164" s="3">
        <v>240</v>
      </c>
      <c r="D164" s="3">
        <v>22.92</v>
      </c>
      <c r="H164" s="3">
        <v>5500</v>
      </c>
      <c r="I164" t="s">
        <v>670</v>
      </c>
    </row>
    <row r="165" spans="1:9" x14ac:dyDescent="0.25">
      <c r="A165" t="s">
        <v>63</v>
      </c>
      <c r="B165" s="3" t="s">
        <v>671</v>
      </c>
      <c r="C165" s="3">
        <v>120</v>
      </c>
      <c r="D165" s="3">
        <v>16.670000000000002</v>
      </c>
      <c r="H165" s="3">
        <v>2000</v>
      </c>
      <c r="I165" t="s">
        <v>672</v>
      </c>
    </row>
    <row r="166" spans="1:9" x14ac:dyDescent="0.25">
      <c r="A166" t="s">
        <v>63</v>
      </c>
      <c r="B166" s="3" t="s">
        <v>673</v>
      </c>
      <c r="C166" s="3">
        <v>240</v>
      </c>
      <c r="D166" s="3">
        <v>22.92</v>
      </c>
      <c r="H166" s="3">
        <v>5500</v>
      </c>
      <c r="I166" t="s">
        <v>674</v>
      </c>
    </row>
    <row r="167" spans="1:9" x14ac:dyDescent="0.25">
      <c r="A167" t="s">
        <v>63</v>
      </c>
      <c r="B167" s="3" t="s">
        <v>675</v>
      </c>
      <c r="C167" s="3">
        <v>120</v>
      </c>
      <c r="D167" s="3">
        <v>16.670000000000002</v>
      </c>
      <c r="H167" s="3">
        <v>2000</v>
      </c>
      <c r="I167" t="s">
        <v>676</v>
      </c>
    </row>
    <row r="168" spans="1:9" x14ac:dyDescent="0.25">
      <c r="A168" t="s">
        <v>63</v>
      </c>
      <c r="B168" s="3" t="s">
        <v>677</v>
      </c>
      <c r="C168" s="3">
        <v>240</v>
      </c>
      <c r="D168" s="3">
        <v>18.75</v>
      </c>
      <c r="H168" s="3">
        <v>4500</v>
      </c>
      <c r="I168" t="s">
        <v>678</v>
      </c>
    </row>
    <row r="170" spans="1:9" x14ac:dyDescent="0.25">
      <c r="A170" s="249" t="s">
        <v>679</v>
      </c>
      <c r="B170" s="249"/>
      <c r="C170" s="249"/>
      <c r="D170" s="249"/>
      <c r="E170" s="249"/>
      <c r="F170" s="249"/>
      <c r="G170" s="249"/>
    </row>
    <row r="171" spans="1:9" x14ac:dyDescent="0.25">
      <c r="A171" s="3"/>
      <c r="E171" s="56" t="s">
        <v>517</v>
      </c>
      <c r="F171" s="3"/>
      <c r="G171" s="3"/>
    </row>
    <row r="172" spans="1:9" ht="30" x14ac:dyDescent="0.25">
      <c r="A172" s="3" t="s">
        <v>518</v>
      </c>
      <c r="B172" s="3" t="s">
        <v>680</v>
      </c>
      <c r="C172" s="3" t="s">
        <v>344</v>
      </c>
      <c r="D172" s="4" t="s">
        <v>520</v>
      </c>
      <c r="E172" s="3" t="s">
        <v>521</v>
      </c>
      <c r="F172" s="3" t="s">
        <v>522</v>
      </c>
      <c r="H172" s="3" t="s">
        <v>522</v>
      </c>
      <c r="I172" t="s">
        <v>523</v>
      </c>
    </row>
    <row r="173" spans="1:9" x14ac:dyDescent="0.25">
      <c r="A173" t="s">
        <v>63</v>
      </c>
      <c r="B173" s="3" t="s">
        <v>681</v>
      </c>
      <c r="C173" s="3">
        <v>240</v>
      </c>
      <c r="D173" s="3">
        <v>75</v>
      </c>
      <c r="H173" s="3">
        <v>18000</v>
      </c>
      <c r="I173" t="s">
        <v>682</v>
      </c>
    </row>
    <row r="174" spans="1:9" x14ac:dyDescent="0.25">
      <c r="A174" t="s">
        <v>63</v>
      </c>
      <c r="B174" s="3" t="s">
        <v>683</v>
      </c>
      <c r="C174" s="3">
        <v>240</v>
      </c>
      <c r="D174" s="3">
        <v>150</v>
      </c>
      <c r="H174" s="3">
        <v>36000</v>
      </c>
      <c r="I174" t="s">
        <v>684</v>
      </c>
    </row>
    <row r="175" spans="1:9" x14ac:dyDescent="0.25">
      <c r="A175" t="s">
        <v>63</v>
      </c>
      <c r="B175" s="3" t="s">
        <v>685</v>
      </c>
      <c r="C175" s="3">
        <v>240</v>
      </c>
      <c r="D175" s="3">
        <v>54</v>
      </c>
      <c r="H175" s="3">
        <v>13000</v>
      </c>
      <c r="I175" t="s">
        <v>686</v>
      </c>
    </row>
    <row r="176" spans="1:9" x14ac:dyDescent="0.25">
      <c r="A176" t="s">
        <v>63</v>
      </c>
      <c r="B176" s="3" t="s">
        <v>687</v>
      </c>
      <c r="C176" s="3">
        <v>240</v>
      </c>
      <c r="D176" s="3">
        <v>100</v>
      </c>
      <c r="H176" s="3">
        <v>24000</v>
      </c>
      <c r="I176" t="s">
        <v>688</v>
      </c>
    </row>
    <row r="177" spans="1:9" x14ac:dyDescent="0.25">
      <c r="A177" t="s">
        <v>63</v>
      </c>
      <c r="B177" s="3" t="s">
        <v>689</v>
      </c>
      <c r="C177" s="3">
        <v>240</v>
      </c>
      <c r="D177" s="3">
        <v>113</v>
      </c>
      <c r="H177" s="3">
        <v>27000</v>
      </c>
      <c r="I177" t="s">
        <v>690</v>
      </c>
    </row>
    <row r="178" spans="1:9" x14ac:dyDescent="0.25">
      <c r="A178" t="s">
        <v>63</v>
      </c>
      <c r="B178" s="3" t="s">
        <v>683</v>
      </c>
      <c r="C178" s="3">
        <v>240</v>
      </c>
      <c r="D178" s="3">
        <v>150</v>
      </c>
      <c r="H178" s="3">
        <v>36000</v>
      </c>
      <c r="I178" t="s">
        <v>691</v>
      </c>
    </row>
    <row r="179" spans="1:9" x14ac:dyDescent="0.25">
      <c r="A179" t="s">
        <v>63</v>
      </c>
      <c r="B179" s="3" t="s">
        <v>692</v>
      </c>
      <c r="C179" s="3">
        <v>240</v>
      </c>
      <c r="D179" s="3">
        <v>46</v>
      </c>
      <c r="H179" s="3">
        <v>11000</v>
      </c>
      <c r="I179" t="s">
        <v>693</v>
      </c>
    </row>
    <row r="180" spans="1:9" x14ac:dyDescent="0.25">
      <c r="A180" t="s">
        <v>63</v>
      </c>
      <c r="B180" s="3" t="s">
        <v>694</v>
      </c>
      <c r="C180" s="3">
        <v>240</v>
      </c>
      <c r="D180" s="3">
        <v>80</v>
      </c>
      <c r="H180" s="3">
        <v>19200</v>
      </c>
      <c r="I180" t="s">
        <v>695</v>
      </c>
    </row>
    <row r="181" spans="1:9" x14ac:dyDescent="0.25">
      <c r="A181" t="s">
        <v>63</v>
      </c>
      <c r="B181" s="3" t="s">
        <v>696</v>
      </c>
      <c r="C181" s="3">
        <v>240</v>
      </c>
      <c r="D181" s="3">
        <v>33</v>
      </c>
      <c r="H181" s="3">
        <v>8000</v>
      </c>
      <c r="I181" t="s">
        <v>697</v>
      </c>
    </row>
    <row r="182" spans="1:9" x14ac:dyDescent="0.25">
      <c r="A182" t="s">
        <v>63</v>
      </c>
      <c r="B182" s="3" t="s">
        <v>698</v>
      </c>
      <c r="C182" s="3">
        <v>120</v>
      </c>
      <c r="D182" s="3">
        <v>12</v>
      </c>
      <c r="E182" s="70" t="s">
        <v>699</v>
      </c>
      <c r="H182" s="3">
        <v>1440</v>
      </c>
      <c r="I182" t="s">
        <v>700</v>
      </c>
    </row>
    <row r="183" spans="1:9" x14ac:dyDescent="0.25">
      <c r="A183" t="s">
        <v>63</v>
      </c>
      <c r="B183" s="3" t="s">
        <v>701</v>
      </c>
      <c r="C183" s="3">
        <v>120</v>
      </c>
      <c r="D183" s="3">
        <v>12</v>
      </c>
      <c r="E183" s="70" t="s">
        <v>699</v>
      </c>
      <c r="H183" s="3">
        <v>1440</v>
      </c>
      <c r="I183" t="s">
        <v>702</v>
      </c>
    </row>
    <row r="184" spans="1:9" x14ac:dyDescent="0.25">
      <c r="A184" t="s">
        <v>63</v>
      </c>
      <c r="B184" s="3" t="s">
        <v>703</v>
      </c>
      <c r="C184" s="3">
        <v>120</v>
      </c>
      <c r="D184" s="3">
        <v>12</v>
      </c>
      <c r="E184" s="70" t="s">
        <v>699</v>
      </c>
      <c r="H184" s="3">
        <v>1440</v>
      </c>
      <c r="I184" t="s">
        <v>704</v>
      </c>
    </row>
    <row r="185" spans="1:9" x14ac:dyDescent="0.25">
      <c r="A185" t="s">
        <v>63</v>
      </c>
      <c r="B185" s="3" t="s">
        <v>705</v>
      </c>
      <c r="C185" s="3">
        <v>120</v>
      </c>
      <c r="D185" s="3">
        <v>12</v>
      </c>
      <c r="E185" s="70" t="s">
        <v>699</v>
      </c>
      <c r="H185" s="3">
        <v>1440</v>
      </c>
      <c r="I185" t="s">
        <v>706</v>
      </c>
    </row>
    <row r="187" spans="1:9" x14ac:dyDescent="0.25">
      <c r="A187" s="249" t="s">
        <v>707</v>
      </c>
      <c r="B187" s="249"/>
      <c r="C187" s="249"/>
      <c r="D187" s="249"/>
      <c r="E187" s="249"/>
      <c r="F187" s="249"/>
      <c r="G187" s="249"/>
    </row>
    <row r="188" spans="1:9" x14ac:dyDescent="0.25">
      <c r="A188" s="3"/>
      <c r="E188" s="56" t="s">
        <v>517</v>
      </c>
      <c r="F188" s="3"/>
      <c r="G188" s="3"/>
    </row>
    <row r="189" spans="1:9" ht="30" x14ac:dyDescent="0.25">
      <c r="A189" s="3" t="s">
        <v>518</v>
      </c>
      <c r="B189" s="3" t="s">
        <v>658</v>
      </c>
      <c r="C189" s="3" t="s">
        <v>344</v>
      </c>
      <c r="D189" s="4" t="s">
        <v>520</v>
      </c>
      <c r="E189" s="3" t="s">
        <v>521</v>
      </c>
      <c r="F189" s="3" t="s">
        <v>642</v>
      </c>
      <c r="G189" t="s">
        <v>523</v>
      </c>
    </row>
    <row r="190" spans="1:9" x14ac:dyDescent="0.25">
      <c r="A190" t="s">
        <v>524</v>
      </c>
      <c r="B190" s="3" t="s">
        <v>665</v>
      </c>
      <c r="F190">
        <v>30000</v>
      </c>
      <c r="G190" t="s">
        <v>708</v>
      </c>
    </row>
    <row r="191" spans="1:9" x14ac:dyDescent="0.25">
      <c r="A191" t="s">
        <v>524</v>
      </c>
      <c r="B191" s="3" t="s">
        <v>673</v>
      </c>
      <c r="F191">
        <v>50000</v>
      </c>
      <c r="G191" t="s">
        <v>709</v>
      </c>
    </row>
    <row r="192" spans="1:9" x14ac:dyDescent="0.25">
      <c r="A192" t="s">
        <v>524</v>
      </c>
      <c r="B192" s="3" t="s">
        <v>710</v>
      </c>
      <c r="F192">
        <v>36000</v>
      </c>
      <c r="G192" t="s">
        <v>711</v>
      </c>
    </row>
    <row r="193" spans="1:7" x14ac:dyDescent="0.25">
      <c r="A193" t="s">
        <v>524</v>
      </c>
      <c r="B193" s="3" t="s">
        <v>712</v>
      </c>
      <c r="F193">
        <v>38000</v>
      </c>
      <c r="G193" t="s">
        <v>713</v>
      </c>
    </row>
    <row r="194" spans="1:7" x14ac:dyDescent="0.25">
      <c r="A194" t="s">
        <v>524</v>
      </c>
      <c r="B194" s="3" t="s">
        <v>712</v>
      </c>
      <c r="F194">
        <v>40000</v>
      </c>
      <c r="G194" t="s">
        <v>714</v>
      </c>
    </row>
    <row r="195" spans="1:7" x14ac:dyDescent="0.25">
      <c r="A195" t="s">
        <v>524</v>
      </c>
      <c r="B195" s="3" t="s">
        <v>715</v>
      </c>
      <c r="F195">
        <v>32000</v>
      </c>
      <c r="G195" t="s">
        <v>716</v>
      </c>
    </row>
    <row r="196" spans="1:7" x14ac:dyDescent="0.25">
      <c r="A196" t="s">
        <v>524</v>
      </c>
      <c r="B196" s="3" t="s">
        <v>717</v>
      </c>
      <c r="F196">
        <v>76000</v>
      </c>
      <c r="G196" t="s">
        <v>718</v>
      </c>
    </row>
    <row r="197" spans="1:7" x14ac:dyDescent="0.25">
      <c r="A197" t="s">
        <v>524</v>
      </c>
      <c r="B197" s="3" t="s">
        <v>715</v>
      </c>
      <c r="F197">
        <v>30000</v>
      </c>
      <c r="G197" t="s">
        <v>719</v>
      </c>
    </row>
    <row r="198" spans="1:7" x14ac:dyDescent="0.25">
      <c r="A198" t="s">
        <v>524</v>
      </c>
      <c r="B198" s="3" t="s">
        <v>710</v>
      </c>
      <c r="F198">
        <v>34000</v>
      </c>
      <c r="G198" t="s">
        <v>720</v>
      </c>
    </row>
    <row r="200" spans="1:7" x14ac:dyDescent="0.25">
      <c r="A200" s="249" t="s">
        <v>721</v>
      </c>
      <c r="B200" s="249"/>
      <c r="C200" s="249"/>
      <c r="D200" s="249"/>
      <c r="E200" s="249"/>
      <c r="F200" s="249"/>
      <c r="G200" s="249"/>
    </row>
    <row r="201" spans="1:7" x14ac:dyDescent="0.25">
      <c r="A201" s="3"/>
      <c r="E201" s="56" t="s">
        <v>517</v>
      </c>
      <c r="F201" s="3"/>
      <c r="G201" s="3"/>
    </row>
    <row r="202" spans="1:7" ht="30" x14ac:dyDescent="0.25">
      <c r="A202" s="3" t="s">
        <v>518</v>
      </c>
      <c r="B202" s="3" t="s">
        <v>680</v>
      </c>
      <c r="C202" s="3" t="s">
        <v>344</v>
      </c>
      <c r="D202" s="4" t="s">
        <v>520</v>
      </c>
      <c r="E202" s="3" t="s">
        <v>521</v>
      </c>
      <c r="F202" s="3" t="s">
        <v>642</v>
      </c>
      <c r="G202" t="s">
        <v>523</v>
      </c>
    </row>
    <row r="203" spans="1:7" x14ac:dyDescent="0.25">
      <c r="A203" t="s">
        <v>524</v>
      </c>
      <c r="B203" s="3" t="s">
        <v>722</v>
      </c>
      <c r="C203" s="3">
        <v>120</v>
      </c>
      <c r="F203">
        <v>140000</v>
      </c>
      <c r="G203" t="s">
        <v>723</v>
      </c>
    </row>
    <row r="204" spans="1:7" x14ac:dyDescent="0.25">
      <c r="A204" t="s">
        <v>524</v>
      </c>
      <c r="B204" s="3" t="s">
        <v>724</v>
      </c>
      <c r="C204" s="3">
        <v>120</v>
      </c>
      <c r="F204">
        <v>120000</v>
      </c>
      <c r="G204" t="s">
        <v>725</v>
      </c>
    </row>
    <row r="205" spans="1:7" x14ac:dyDescent="0.25">
      <c r="A205" t="s">
        <v>524</v>
      </c>
      <c r="B205" s="3" t="s">
        <v>726</v>
      </c>
      <c r="C205" s="3">
        <v>120</v>
      </c>
      <c r="F205">
        <v>80000</v>
      </c>
      <c r="G205" t="s">
        <v>727</v>
      </c>
    </row>
    <row r="206" spans="1:7" x14ac:dyDescent="0.25">
      <c r="A206" t="s">
        <v>524</v>
      </c>
      <c r="B206" s="3" t="s">
        <v>728</v>
      </c>
      <c r="C206" s="3" t="s">
        <v>729</v>
      </c>
      <c r="F206">
        <v>42000</v>
      </c>
      <c r="G206" t="s">
        <v>730</v>
      </c>
    </row>
    <row r="207" spans="1:7" x14ac:dyDescent="0.25">
      <c r="A207" t="s">
        <v>524</v>
      </c>
      <c r="B207" s="3" t="s">
        <v>731</v>
      </c>
      <c r="C207" s="3">
        <v>120</v>
      </c>
      <c r="F207">
        <v>145000</v>
      </c>
      <c r="G207" t="s">
        <v>732</v>
      </c>
    </row>
    <row r="208" spans="1:7" x14ac:dyDescent="0.25">
      <c r="A208" t="s">
        <v>524</v>
      </c>
      <c r="B208" s="3" t="s">
        <v>733</v>
      </c>
      <c r="C208" s="3">
        <v>3</v>
      </c>
      <c r="F208">
        <v>75000</v>
      </c>
      <c r="G208" t="s">
        <v>734</v>
      </c>
    </row>
    <row r="209" spans="1:9" x14ac:dyDescent="0.25">
      <c r="A209" t="s">
        <v>524</v>
      </c>
      <c r="B209" s="3" t="s">
        <v>735</v>
      </c>
      <c r="C209" s="3">
        <v>12</v>
      </c>
      <c r="F209">
        <v>55000</v>
      </c>
      <c r="G209" t="s">
        <v>736</v>
      </c>
    </row>
    <row r="210" spans="1:9" x14ac:dyDescent="0.25">
      <c r="A210" t="s">
        <v>524</v>
      </c>
      <c r="B210" s="3" t="s">
        <v>737</v>
      </c>
      <c r="C210" s="3">
        <v>120</v>
      </c>
      <c r="F210">
        <v>110000</v>
      </c>
      <c r="G210" t="s">
        <v>738</v>
      </c>
    </row>
    <row r="211" spans="1:9" x14ac:dyDescent="0.25">
      <c r="A211" t="s">
        <v>524</v>
      </c>
      <c r="B211" s="3" t="s">
        <v>739</v>
      </c>
      <c r="C211" s="3">
        <v>110</v>
      </c>
      <c r="F211">
        <v>70000</v>
      </c>
      <c r="G211" t="s">
        <v>740</v>
      </c>
    </row>
    <row r="212" spans="1:9" x14ac:dyDescent="0.25">
      <c r="A212" t="s">
        <v>524</v>
      </c>
      <c r="B212" s="3" t="s">
        <v>741</v>
      </c>
      <c r="C212" s="3" t="s">
        <v>729</v>
      </c>
      <c r="F212">
        <v>65000</v>
      </c>
      <c r="G212" t="s">
        <v>742</v>
      </c>
    </row>
    <row r="213" spans="1:9" x14ac:dyDescent="0.25">
      <c r="A213" t="s">
        <v>524</v>
      </c>
      <c r="B213" s="3" t="s">
        <v>743</v>
      </c>
      <c r="C213" s="3" t="s">
        <v>729</v>
      </c>
      <c r="F213">
        <v>107000</v>
      </c>
      <c r="G213" t="s">
        <v>744</v>
      </c>
    </row>
    <row r="215" spans="1:9" x14ac:dyDescent="0.25">
      <c r="D215" s="3" t="s">
        <v>745</v>
      </c>
    </row>
    <row r="217" spans="1:9" x14ac:dyDescent="0.25">
      <c r="A217" s="249" t="s">
        <v>746</v>
      </c>
      <c r="B217" s="249"/>
      <c r="C217" s="249"/>
      <c r="D217" s="249"/>
      <c r="E217" s="249"/>
      <c r="F217" s="249"/>
      <c r="G217" s="249"/>
    </row>
    <row r="218" spans="1:9" x14ac:dyDescent="0.25">
      <c r="A218" s="3"/>
      <c r="E218" s="56" t="s">
        <v>517</v>
      </c>
      <c r="F218" s="3"/>
      <c r="G218" s="3"/>
    </row>
    <row r="219" spans="1:9" ht="30" x14ac:dyDescent="0.25">
      <c r="A219" s="3" t="s">
        <v>518</v>
      </c>
      <c r="B219" s="3" t="s">
        <v>747</v>
      </c>
      <c r="C219" s="3" t="s">
        <v>748</v>
      </c>
      <c r="D219" s="3" t="s">
        <v>344</v>
      </c>
      <c r="E219" s="4" t="s">
        <v>520</v>
      </c>
      <c r="F219" s="3" t="s">
        <v>521</v>
      </c>
      <c r="G219" s="3" t="s">
        <v>522</v>
      </c>
      <c r="H219" t="s">
        <v>523</v>
      </c>
      <c r="I219" s="3"/>
    </row>
    <row r="220" spans="1:9" x14ac:dyDescent="0.25">
      <c r="A220" t="s">
        <v>63</v>
      </c>
      <c r="B220" s="3" t="s">
        <v>749</v>
      </c>
      <c r="C220" s="3">
        <v>23</v>
      </c>
      <c r="D220" s="3">
        <v>240</v>
      </c>
      <c r="E220" s="3">
        <v>50</v>
      </c>
      <c r="H220" t="s">
        <v>750</v>
      </c>
    </row>
    <row r="221" spans="1:9" x14ac:dyDescent="0.25">
      <c r="A221" t="s">
        <v>63</v>
      </c>
      <c r="B221" s="3" t="s">
        <v>749</v>
      </c>
      <c r="C221" s="3">
        <v>25</v>
      </c>
      <c r="D221" s="3">
        <v>240</v>
      </c>
      <c r="E221" s="3">
        <v>48</v>
      </c>
      <c r="H221" s="20" t="s">
        <v>751</v>
      </c>
    </row>
    <row r="222" spans="1:9" x14ac:dyDescent="0.25">
      <c r="A222" t="s">
        <v>63</v>
      </c>
      <c r="B222" s="3" t="s">
        <v>749</v>
      </c>
      <c r="C222" s="3">
        <v>25</v>
      </c>
      <c r="E222" s="3">
        <v>48</v>
      </c>
      <c r="H222" s="20" t="s">
        <v>752</v>
      </c>
    </row>
    <row r="223" spans="1:9" x14ac:dyDescent="0.25">
      <c r="A223" t="s">
        <v>63</v>
      </c>
      <c r="B223" s="3" t="s">
        <v>749</v>
      </c>
      <c r="C223" s="3">
        <v>25</v>
      </c>
      <c r="E223" s="3">
        <v>40</v>
      </c>
      <c r="H223" s="20" t="s">
        <v>753</v>
      </c>
    </row>
    <row r="224" spans="1:9" x14ac:dyDescent="0.25">
      <c r="A224" t="s">
        <v>63</v>
      </c>
      <c r="B224" s="3" t="s">
        <v>749</v>
      </c>
      <c r="C224" s="3">
        <v>18</v>
      </c>
      <c r="D224" s="3">
        <v>240</v>
      </c>
      <c r="E224" s="3">
        <v>40</v>
      </c>
      <c r="H224" s="20" t="s">
        <v>754</v>
      </c>
    </row>
    <row r="225" spans="1:9" x14ac:dyDescent="0.25">
      <c r="A225" t="s">
        <v>63</v>
      </c>
      <c r="B225" s="3" t="s">
        <v>749</v>
      </c>
      <c r="C225" s="3">
        <v>20</v>
      </c>
      <c r="D225" s="3">
        <v>240</v>
      </c>
      <c r="E225" s="3">
        <v>48</v>
      </c>
      <c r="H225" s="20" t="s">
        <v>755</v>
      </c>
    </row>
    <row r="226" spans="1:9" x14ac:dyDescent="0.25">
      <c r="A226" t="s">
        <v>63</v>
      </c>
      <c r="B226" s="3" t="s">
        <v>749</v>
      </c>
      <c r="C226" s="3">
        <v>25</v>
      </c>
      <c r="D226" s="3">
        <v>240</v>
      </c>
      <c r="E226" s="3">
        <v>40</v>
      </c>
      <c r="H226" s="20" t="s">
        <v>756</v>
      </c>
    </row>
    <row r="227" spans="1:9" x14ac:dyDescent="0.25">
      <c r="A227" t="s">
        <v>63</v>
      </c>
      <c r="B227" s="3" t="s">
        <v>749</v>
      </c>
      <c r="C227" s="3">
        <v>25</v>
      </c>
      <c r="D227" s="3">
        <v>240</v>
      </c>
      <c r="E227" s="3">
        <v>16</v>
      </c>
      <c r="H227" s="20" t="s">
        <v>757</v>
      </c>
    </row>
    <row r="228" spans="1:9" x14ac:dyDescent="0.25">
      <c r="A228" t="s">
        <v>63</v>
      </c>
      <c r="B228" s="3" t="s">
        <v>749</v>
      </c>
      <c r="C228" s="3">
        <v>18</v>
      </c>
      <c r="D228" s="3">
        <v>240</v>
      </c>
      <c r="E228" s="3">
        <v>50</v>
      </c>
      <c r="H228" s="20" t="s">
        <v>758</v>
      </c>
    </row>
    <row r="229" spans="1:9" x14ac:dyDescent="0.25">
      <c r="A229" t="s">
        <v>63</v>
      </c>
      <c r="B229" s="3" t="s">
        <v>749</v>
      </c>
      <c r="C229" s="3">
        <v>20</v>
      </c>
      <c r="D229" s="3">
        <v>240</v>
      </c>
      <c r="E229" s="3">
        <v>32</v>
      </c>
      <c r="H229" s="20" t="s">
        <v>759</v>
      </c>
    </row>
    <row r="231" spans="1:9" x14ac:dyDescent="0.25">
      <c r="A231" s="249" t="s">
        <v>760</v>
      </c>
      <c r="B231" s="249"/>
      <c r="C231" s="249"/>
      <c r="D231" s="249"/>
      <c r="E231" s="249"/>
      <c r="F231" s="249"/>
      <c r="G231" s="249"/>
    </row>
    <row r="232" spans="1:9" x14ac:dyDescent="0.25">
      <c r="A232" s="3"/>
      <c r="E232" s="56" t="s">
        <v>517</v>
      </c>
      <c r="F232" s="3"/>
      <c r="G232" s="3"/>
    </row>
    <row r="233" spans="1:9" ht="30" x14ac:dyDescent="0.25">
      <c r="A233" s="3" t="s">
        <v>518</v>
      </c>
      <c r="B233" s="3" t="s">
        <v>658</v>
      </c>
      <c r="C233" s="3" t="s">
        <v>344</v>
      </c>
      <c r="D233" s="4" t="s">
        <v>520</v>
      </c>
      <c r="E233" s="3" t="s">
        <v>521</v>
      </c>
      <c r="F233" s="3" t="s">
        <v>522</v>
      </c>
      <c r="H233" s="3" t="s">
        <v>522</v>
      </c>
      <c r="I233" t="s">
        <v>523</v>
      </c>
    </row>
    <row r="234" spans="1:9" x14ac:dyDescent="0.25">
      <c r="A234" t="s">
        <v>63</v>
      </c>
      <c r="B234" s="3" t="s">
        <v>712</v>
      </c>
      <c r="C234" s="3">
        <v>240</v>
      </c>
      <c r="D234" s="3">
        <v>18.75</v>
      </c>
      <c r="H234" s="3">
        <v>4500</v>
      </c>
      <c r="I234" t="s">
        <v>761</v>
      </c>
    </row>
    <row r="235" spans="1:9" x14ac:dyDescent="0.25">
      <c r="A235" t="s">
        <v>63</v>
      </c>
      <c r="B235" s="3" t="s">
        <v>762</v>
      </c>
      <c r="C235" s="3">
        <v>240</v>
      </c>
      <c r="D235" s="3">
        <v>18.75</v>
      </c>
      <c r="H235" s="3">
        <v>4500</v>
      </c>
      <c r="I235" t="s">
        <v>763</v>
      </c>
    </row>
    <row r="236" spans="1:9" x14ac:dyDescent="0.25">
      <c r="A236" t="s">
        <v>63</v>
      </c>
      <c r="B236" s="3" t="s">
        <v>712</v>
      </c>
      <c r="C236" s="3">
        <v>240</v>
      </c>
      <c r="D236" s="3">
        <v>18.75</v>
      </c>
      <c r="H236" s="3">
        <v>4500</v>
      </c>
      <c r="I236" t="s">
        <v>764</v>
      </c>
    </row>
    <row r="237" spans="1:9" x14ac:dyDescent="0.25">
      <c r="A237" t="s">
        <v>63</v>
      </c>
      <c r="B237" s="3" t="s">
        <v>762</v>
      </c>
      <c r="C237" s="3">
        <v>240</v>
      </c>
      <c r="D237" s="3">
        <v>18.75</v>
      </c>
      <c r="H237" s="3">
        <v>4500</v>
      </c>
      <c r="I237" t="s">
        <v>765</v>
      </c>
    </row>
    <row r="238" spans="1:9" x14ac:dyDescent="0.25">
      <c r="A238" t="s">
        <v>63</v>
      </c>
      <c r="B238" s="3" t="s">
        <v>712</v>
      </c>
      <c r="C238" s="3">
        <v>120</v>
      </c>
      <c r="D238" s="3">
        <v>15</v>
      </c>
      <c r="E238" s="3">
        <v>12</v>
      </c>
      <c r="F238">
        <f>12*120</f>
        <v>1440</v>
      </c>
      <c r="H238" s="3">
        <v>0</v>
      </c>
      <c r="I238" t="s">
        <v>766</v>
      </c>
    </row>
    <row r="239" spans="1:9" x14ac:dyDescent="0.25">
      <c r="A239" t="s">
        <v>63</v>
      </c>
      <c r="B239" s="3" t="s">
        <v>762</v>
      </c>
      <c r="C239" s="3">
        <v>120</v>
      </c>
      <c r="D239" s="3">
        <v>15</v>
      </c>
      <c r="E239" s="3">
        <v>12</v>
      </c>
      <c r="F239">
        <f t="shared" ref="F239:F241" si="5">12*120</f>
        <v>1440</v>
      </c>
      <c r="H239" s="3">
        <v>0</v>
      </c>
      <c r="I239" t="s">
        <v>767</v>
      </c>
    </row>
    <row r="240" spans="1:9" x14ac:dyDescent="0.25">
      <c r="A240" t="s">
        <v>63</v>
      </c>
      <c r="B240" s="3" t="s">
        <v>712</v>
      </c>
      <c r="C240" s="3">
        <v>120</v>
      </c>
      <c r="D240" s="3">
        <v>15</v>
      </c>
      <c r="E240" s="3">
        <v>12</v>
      </c>
      <c r="F240">
        <f t="shared" si="5"/>
        <v>1440</v>
      </c>
      <c r="H240" s="3">
        <v>0</v>
      </c>
      <c r="I240" t="s">
        <v>768</v>
      </c>
    </row>
    <row r="241" spans="1:9" x14ac:dyDescent="0.25">
      <c r="A241" t="s">
        <v>63</v>
      </c>
      <c r="B241" s="3" t="s">
        <v>762</v>
      </c>
      <c r="C241" s="3">
        <v>120</v>
      </c>
      <c r="D241" s="3">
        <v>15</v>
      </c>
      <c r="E241" s="3">
        <v>12</v>
      </c>
      <c r="F241">
        <f t="shared" si="5"/>
        <v>1440</v>
      </c>
      <c r="H241" s="3">
        <v>0</v>
      </c>
      <c r="I241" t="s">
        <v>769</v>
      </c>
    </row>
    <row r="242" spans="1:9" x14ac:dyDescent="0.25">
      <c r="A242" t="s">
        <v>63</v>
      </c>
      <c r="B242" s="3" t="s">
        <v>710</v>
      </c>
      <c r="C242" s="3">
        <v>240</v>
      </c>
      <c r="D242" s="3">
        <v>18.75</v>
      </c>
      <c r="H242" s="3">
        <v>4500</v>
      </c>
      <c r="I242" t="s">
        <v>770</v>
      </c>
    </row>
    <row r="243" spans="1:9" x14ac:dyDescent="0.25">
      <c r="A243" t="s">
        <v>63</v>
      </c>
      <c r="B243" s="3" t="s">
        <v>677</v>
      </c>
      <c r="C243" s="3">
        <v>240</v>
      </c>
      <c r="D243" s="3">
        <v>18.75</v>
      </c>
      <c r="H243" s="3">
        <v>4500</v>
      </c>
      <c r="I243" t="s">
        <v>771</v>
      </c>
    </row>
  </sheetData>
  <mergeCells count="18">
    <mergeCell ref="A134:G134"/>
    <mergeCell ref="A1:G1"/>
    <mergeCell ref="A30:G30"/>
    <mergeCell ref="A47:G47"/>
    <mergeCell ref="A53:G53"/>
    <mergeCell ref="A61:G61"/>
    <mergeCell ref="A78:G78"/>
    <mergeCell ref="A91:G91"/>
    <mergeCell ref="A102:G102"/>
    <mergeCell ref="A107:G107"/>
    <mergeCell ref="A120:G120"/>
    <mergeCell ref="A231:G231"/>
    <mergeCell ref="A146:G146"/>
    <mergeCell ref="A155:G155"/>
    <mergeCell ref="A170:G170"/>
    <mergeCell ref="A187:G187"/>
    <mergeCell ref="A200:G200"/>
    <mergeCell ref="A217:G217"/>
  </mergeCells>
  <hyperlinks>
    <hyperlink ref="G7" r:id="rId1" xr:uid="{1AE4CB22-74B8-40BF-9481-FAC794D9304F}"/>
  </hyperlinks>
  <pageMargins left="0.7" right="0.7" top="0.75" bottom="0.75" header="0.3" footer="0.3"/>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D7204-A5B6-41D9-8AA1-28DC062D0F84}">
  <sheetPr>
    <tabColor rgb="FFFFC000"/>
  </sheetPr>
  <dimension ref="B3:D13"/>
  <sheetViews>
    <sheetView showGridLines="0" showRowColHeaders="0" zoomScale="115" zoomScaleNormal="115" workbookViewId="0">
      <selection activeCell="S41" sqref="S41"/>
    </sheetView>
  </sheetViews>
  <sheetFormatPr defaultRowHeight="15" x14ac:dyDescent="0.25"/>
  <cols>
    <col min="3" max="3" width="3.28515625" customWidth="1"/>
  </cols>
  <sheetData>
    <row r="3" spans="2:4" ht="123" customHeight="1" x14ac:dyDescent="0.25"/>
    <row r="13" spans="2:4" x14ac:dyDescent="0.25">
      <c r="B13" s="37"/>
      <c r="D13" s="28"/>
    </row>
  </sheetData>
  <sheetProtection algorithmName="SHA-512" hashValue="TeRVWBX1fxSMl2AL96y3RCU4FN1b0Okk63iGvJ8fFszGzc9NdUlgShebTkwdzSmXo/pyfD31mg3MBy1tV4m6PQ==" saltValue="+0bYvEE6cmukWnZNe12Uqg==" spinCount="100000" sheet="1" objects="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3A5B9-98B5-409B-8B92-FB5146624873}">
  <sheetPr>
    <tabColor theme="8"/>
  </sheetPr>
  <dimension ref="B2:T2"/>
  <sheetViews>
    <sheetView showGridLines="0" workbookViewId="0">
      <selection activeCell="B4" sqref="B4"/>
    </sheetView>
  </sheetViews>
  <sheetFormatPr defaultRowHeight="15" x14ac:dyDescent="0.25"/>
  <sheetData>
    <row r="2" spans="2:20" ht="21.75" thickBot="1" x14ac:dyDescent="0.4">
      <c r="B2" s="213" t="s">
        <v>1</v>
      </c>
      <c r="C2" s="214"/>
      <c r="D2" s="214"/>
      <c r="E2" s="214"/>
      <c r="F2" s="214"/>
      <c r="G2" s="214"/>
      <c r="H2" s="214"/>
      <c r="I2" s="214"/>
      <c r="J2" s="214"/>
      <c r="K2" s="214"/>
      <c r="L2" s="214"/>
      <c r="M2" s="214"/>
      <c r="N2" s="214"/>
      <c r="O2" s="214"/>
      <c r="P2" s="214"/>
      <c r="Q2" s="214"/>
      <c r="R2" s="214"/>
      <c r="S2" s="214"/>
      <c r="T2" s="21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500D6-0C39-4780-8258-4DBCAAE637A6}">
  <sheetPr>
    <tabColor rgb="FF92D050"/>
  </sheetPr>
  <dimension ref="A1:O32"/>
  <sheetViews>
    <sheetView showGridLines="0" showRowColHeaders="0" topLeftCell="A3" zoomScaleNormal="100" workbookViewId="0">
      <selection activeCell="D13" sqref="D13"/>
    </sheetView>
  </sheetViews>
  <sheetFormatPr defaultRowHeight="15" x14ac:dyDescent="0.25"/>
  <cols>
    <col min="2" max="2" width="40" customWidth="1"/>
    <col min="3" max="3" width="2.5703125" customWidth="1"/>
    <col min="4" max="4" width="26" customWidth="1"/>
    <col min="5" max="5" width="2.28515625" customWidth="1"/>
    <col min="12" max="12" width="3.28515625" customWidth="1"/>
    <col min="14" max="14" width="3.28515625" customWidth="1"/>
  </cols>
  <sheetData>
    <row r="1" spans="1:15" ht="30" x14ac:dyDescent="0.4">
      <c r="A1" s="205" t="s">
        <v>2</v>
      </c>
    </row>
    <row r="2" spans="1:15" x14ac:dyDescent="0.25">
      <c r="B2" s="8"/>
    </row>
    <row r="3" spans="1:15" ht="15.75" thickBot="1" x14ac:dyDescent="0.3">
      <c r="B3" s="8"/>
      <c r="M3" s="5" t="s">
        <v>3</v>
      </c>
      <c r="N3" s="5"/>
      <c r="O3" s="5"/>
    </row>
    <row r="4" spans="1:15" x14ac:dyDescent="0.25">
      <c r="B4" s="8"/>
    </row>
    <row r="5" spans="1:15" x14ac:dyDescent="0.25">
      <c r="B5" s="8"/>
      <c r="M5" s="151"/>
      <c r="O5" t="s">
        <v>4</v>
      </c>
    </row>
    <row r="6" spans="1:15" x14ac:dyDescent="0.25">
      <c r="B6" s="8"/>
      <c r="M6" s="152"/>
      <c r="O6" t="s">
        <v>5</v>
      </c>
    </row>
    <row r="7" spans="1:15" x14ac:dyDescent="0.25">
      <c r="B7" s="8"/>
      <c r="M7" s="13"/>
      <c r="O7" t="s">
        <v>6</v>
      </c>
    </row>
    <row r="8" spans="1:15" x14ac:dyDescent="0.25">
      <c r="B8" s="8"/>
      <c r="M8" s="15"/>
      <c r="O8" t="s">
        <v>7</v>
      </c>
    </row>
    <row r="9" spans="1:15" x14ac:dyDescent="0.25">
      <c r="B9" s="8"/>
    </row>
    <row r="10" spans="1:15" x14ac:dyDescent="0.25">
      <c r="B10" s="8"/>
      <c r="M10" s="37" t="s">
        <v>8</v>
      </c>
      <c r="O10" s="28" t="s">
        <v>9</v>
      </c>
    </row>
    <row r="11" spans="1:15" x14ac:dyDescent="0.25">
      <c r="B11" s="8"/>
    </row>
    <row r="12" spans="1:15" x14ac:dyDescent="0.25">
      <c r="B12" t="s">
        <v>10</v>
      </c>
      <c r="F12" s="18" t="s">
        <v>11</v>
      </c>
    </row>
    <row r="13" spans="1:15" x14ac:dyDescent="0.25">
      <c r="B13" t="s">
        <v>12</v>
      </c>
      <c r="D13" s="216" t="s">
        <v>13</v>
      </c>
    </row>
    <row r="14" spans="1:15" x14ac:dyDescent="0.25">
      <c r="B14" t="s">
        <v>14</v>
      </c>
      <c r="D14" s="216" t="s">
        <v>15</v>
      </c>
    </row>
    <row r="15" spans="1:15" x14ac:dyDescent="0.25">
      <c r="B15" t="s">
        <v>16</v>
      </c>
      <c r="D15" s="216"/>
    </row>
    <row r="16" spans="1:15" x14ac:dyDescent="0.25">
      <c r="B16" t="s">
        <v>17</v>
      </c>
      <c r="D16" s="216" t="s">
        <v>18</v>
      </c>
    </row>
    <row r="17" spans="2:15" x14ac:dyDescent="0.25">
      <c r="B17" t="s">
        <v>19</v>
      </c>
      <c r="D17" s="216" t="s">
        <v>20</v>
      </c>
    </row>
    <row r="18" spans="2:15" x14ac:dyDescent="0.25">
      <c r="B18" t="s">
        <v>21</v>
      </c>
      <c r="D18" s="217" t="s">
        <v>22</v>
      </c>
      <c r="F18" s="27" t="s">
        <v>23</v>
      </c>
    </row>
    <row r="19" spans="2:15" x14ac:dyDescent="0.25">
      <c r="B19" t="s">
        <v>24</v>
      </c>
      <c r="D19" s="216">
        <v>95670</v>
      </c>
    </row>
    <row r="21" spans="2:15" x14ac:dyDescent="0.25">
      <c r="B21" t="s">
        <v>25</v>
      </c>
      <c r="O21" s="7"/>
    </row>
    <row r="22" spans="2:15" x14ac:dyDescent="0.25">
      <c r="B22" t="s">
        <v>26</v>
      </c>
      <c r="D22" s="216" t="s">
        <v>27</v>
      </c>
      <c r="O22" s="1"/>
    </row>
    <row r="23" spans="2:15" x14ac:dyDescent="0.25">
      <c r="B23" t="s">
        <v>28</v>
      </c>
      <c r="D23" s="217" t="s">
        <v>29</v>
      </c>
      <c r="F23" s="27" t="s">
        <v>30</v>
      </c>
      <c r="O23" s="1"/>
    </row>
    <row r="24" spans="2:15" x14ac:dyDescent="0.25">
      <c r="B24" t="s">
        <v>31</v>
      </c>
      <c r="D24" s="217">
        <v>1500</v>
      </c>
      <c r="F24" s="27" t="s">
        <v>32</v>
      </c>
      <c r="O24" s="1"/>
    </row>
    <row r="26" spans="2:15" x14ac:dyDescent="0.25">
      <c r="B26" t="s">
        <v>33</v>
      </c>
      <c r="D26" s="216" t="s">
        <v>34</v>
      </c>
    </row>
    <row r="27" spans="2:15" x14ac:dyDescent="0.25">
      <c r="J27" s="1"/>
    </row>
    <row r="28" spans="2:15" ht="30" x14ac:dyDescent="0.4">
      <c r="B28" s="205" t="s">
        <v>35</v>
      </c>
    </row>
    <row r="29" spans="2:15" x14ac:dyDescent="0.25">
      <c r="B29" t="s">
        <v>36</v>
      </c>
      <c r="D29" s="216" t="s">
        <v>37</v>
      </c>
    </row>
    <row r="30" spans="2:15" x14ac:dyDescent="0.25">
      <c r="B30" t="s">
        <v>38</v>
      </c>
      <c r="D30" s="217" t="s">
        <v>39</v>
      </c>
    </row>
    <row r="31" spans="2:15" x14ac:dyDescent="0.25">
      <c r="B31" t="s">
        <v>40</v>
      </c>
      <c r="D31" s="217">
        <v>100</v>
      </c>
      <c r="F31" s="27" t="s">
        <v>41</v>
      </c>
    </row>
    <row r="32" spans="2:15" x14ac:dyDescent="0.25">
      <c r="B32" t="s">
        <v>42</v>
      </c>
      <c r="D32" s="216">
        <v>24</v>
      </c>
    </row>
  </sheetData>
  <sheetProtection algorithmName="SHA-512" hashValue="iIl/W00W63QPslRbXp073viBH3lD2gj0veYNyLkMJDMeKrX1LgQ1oTi2kSSXIOFoufbmCGlvp7k1HG1HRLUo0Q==" saltValue="2Z0ChK/gg0BWHu0uHmwD5A==" spinCount="100000" sheet="1" objects="1" scenarios="1" selectLockedCells="1"/>
  <pageMargins left="0.7" right="0.7" top="0.75" bottom="0.75" header="0.3" footer="0.3"/>
  <drawing r:id="rId1"/>
  <extLst>
    <ext xmlns:x14="http://schemas.microsoft.com/office/spreadsheetml/2009/9/main" uri="{CCE6A557-97BC-4b89-ADB6-D9C93CAAB3DF}">
      <x14:dataValidations xmlns:xm="http://schemas.microsoft.com/office/excel/2006/main" count="7">
        <x14:dataValidation type="list" allowBlank="1" showInputMessage="1" showErrorMessage="1" xr:uid="{8D6C9FF1-80D8-4D9F-B82B-20453A275541}">
          <x14:formula1>
            <xm:f>Reference!$C$3:$C$10</xm:f>
          </x14:formula1>
          <xm:sqref>D23</xm:sqref>
        </x14:dataValidation>
        <x14:dataValidation type="list" allowBlank="1" showInputMessage="1" showErrorMessage="1" xr:uid="{CF350A3B-ECBE-4099-9F0E-0191CD58D6C3}">
          <x14:formula1>
            <xm:f>Reference!$A$3:$A$5</xm:f>
          </x14:formula1>
          <xm:sqref>D22</xm:sqref>
        </x14:dataValidation>
        <x14:dataValidation type="list" allowBlank="1" showInputMessage="1" showErrorMessage="1" xr:uid="{243C0759-719F-4C73-913F-FD09CBBF0105}">
          <x14:formula1>
            <xm:f>Reference!$G$16:$G$17</xm:f>
          </x14:formula1>
          <xm:sqref>D30</xm:sqref>
        </x14:dataValidation>
        <x14:dataValidation type="list" allowBlank="1" showInputMessage="1" showErrorMessage="1" xr:uid="{ED8128A4-1765-46FB-BAB3-3D0D2027C83B}">
          <x14:formula1>
            <xm:f>Reference!$E$62:$E$68</xm:f>
          </x14:formula1>
          <xm:sqref>D31</xm:sqref>
        </x14:dataValidation>
        <x14:dataValidation type="list" allowBlank="1" showInputMessage="1" showErrorMessage="1" xr:uid="{C88A95A8-D41C-4701-9C6B-6BA259561557}">
          <x14:formula1>
            <xm:f>Reference!$E$3:$E$8</xm:f>
          </x14:formula1>
          <xm:sqref>D26</xm:sqref>
        </x14:dataValidation>
        <x14:dataValidation type="list" allowBlank="1" showInputMessage="1" showErrorMessage="1" xr:uid="{F3813096-BD09-4C61-980C-6DD44868D6F1}">
          <x14:formula1>
            <xm:f>Reference!$A$88:$A$144</xm:f>
          </x14:formula1>
          <xm:sqref>D18</xm:sqref>
        </x14:dataValidation>
        <x14:dataValidation type="list" allowBlank="1" showInputMessage="1" showErrorMessage="1" xr:uid="{13935715-4B23-405D-A4DF-F19C228A9868}">
          <x14:formula1>
            <xm:f>Reference!$G$62:$G$68</xm:f>
          </x14:formula1>
          <xm:sqref>D32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3E9C5-42CC-40F7-85CA-4087360A4894}">
  <sheetPr>
    <tabColor rgb="FF99CCFF"/>
  </sheetPr>
  <dimension ref="B1:AD56"/>
  <sheetViews>
    <sheetView showGridLines="0" showRowColHeaders="0" topLeftCell="A12" zoomScaleNormal="100" workbookViewId="0">
      <selection activeCell="B16" sqref="B16"/>
    </sheetView>
  </sheetViews>
  <sheetFormatPr defaultRowHeight="15" x14ac:dyDescent="0.25"/>
  <cols>
    <col min="1" max="1" width="2.28515625" customWidth="1"/>
    <col min="2" max="2" width="11.7109375" customWidth="1"/>
    <col min="3" max="3" width="29.5703125" customWidth="1"/>
    <col min="4" max="4" width="2.5703125" customWidth="1"/>
    <col min="5" max="5" width="20.42578125" customWidth="1"/>
    <col min="6" max="6" width="20.28515625" customWidth="1"/>
    <col min="7" max="7" width="17.140625" customWidth="1"/>
    <col min="8" max="8" width="14.28515625" customWidth="1"/>
    <col min="9" max="9" width="12.28515625" customWidth="1"/>
    <col min="10" max="10" width="11.42578125" customWidth="1"/>
    <col min="11" max="11" width="2.5703125" customWidth="1"/>
    <col min="12" max="13" width="11.42578125" customWidth="1"/>
    <col min="14" max="14" width="2.5703125" customWidth="1"/>
    <col min="15" max="15" width="11.42578125" customWidth="1"/>
    <col min="16" max="16" width="2.42578125" customWidth="1"/>
    <col min="17" max="17" width="9.140625" customWidth="1"/>
    <col min="18" max="18" width="3.28515625" customWidth="1"/>
    <col min="19" max="19" width="17.140625" customWidth="1"/>
    <col min="20" max="20" width="11" customWidth="1"/>
    <col min="21" max="21" width="17.140625" customWidth="1"/>
    <col min="22" max="22" width="14.28515625" customWidth="1"/>
    <col min="23" max="23" width="12.28515625" customWidth="1"/>
    <col min="24" max="24" width="11.42578125" customWidth="1"/>
    <col min="25" max="25" width="2.5703125" customWidth="1"/>
    <col min="26" max="27" width="11.42578125" customWidth="1"/>
    <col min="28" max="28" width="2.5703125" customWidth="1"/>
    <col min="29" max="30" width="11.42578125" customWidth="1"/>
  </cols>
  <sheetData>
    <row r="1" spans="2:30" x14ac:dyDescent="0.25">
      <c r="E1" s="3"/>
      <c r="F1" s="3"/>
      <c r="G1" s="3"/>
      <c r="H1" s="3"/>
      <c r="I1" s="4"/>
      <c r="J1" s="4"/>
      <c r="L1" s="3"/>
      <c r="M1" s="4"/>
      <c r="N1" s="3"/>
      <c r="O1" s="3"/>
      <c r="P1" s="3"/>
      <c r="R1" s="23"/>
    </row>
    <row r="2" spans="2:30" ht="31.5" x14ac:dyDescent="0.5">
      <c r="B2" s="204" t="s">
        <v>43</v>
      </c>
      <c r="E2" s="3"/>
      <c r="F2" s="3"/>
      <c r="G2" s="3"/>
      <c r="H2" s="3"/>
      <c r="I2" s="4"/>
      <c r="J2" s="4"/>
      <c r="L2" s="3"/>
      <c r="M2" s="4"/>
      <c r="N2" s="3"/>
      <c r="S2" s="45"/>
    </row>
    <row r="3" spans="2:30" ht="15" customHeight="1" x14ac:dyDescent="0.5">
      <c r="C3" s="45"/>
      <c r="E3" s="3"/>
      <c r="F3" s="3"/>
      <c r="G3" s="3"/>
      <c r="H3" s="3"/>
      <c r="I3" s="4"/>
      <c r="J3" s="4"/>
      <c r="L3" s="3"/>
      <c r="M3" s="4"/>
      <c r="N3" s="3"/>
      <c r="S3" s="45"/>
    </row>
    <row r="4" spans="2:30" ht="15" customHeight="1" thickBot="1" x14ac:dyDescent="0.55000000000000004">
      <c r="C4" s="45"/>
      <c r="E4" s="3"/>
      <c r="F4" s="3"/>
      <c r="G4" s="3"/>
      <c r="H4" s="3"/>
      <c r="I4" s="4"/>
      <c r="J4" s="4"/>
      <c r="L4" s="3"/>
      <c r="M4" s="4"/>
      <c r="N4" s="3"/>
      <c r="Q4" s="5" t="s">
        <v>3</v>
      </c>
      <c r="R4" s="5"/>
      <c r="S4" s="5"/>
    </row>
    <row r="5" spans="2:30" ht="15" customHeight="1" x14ac:dyDescent="0.5">
      <c r="C5" s="45"/>
      <c r="E5" s="3"/>
      <c r="F5" s="3"/>
      <c r="G5" s="3"/>
      <c r="H5" s="3"/>
      <c r="I5" s="4"/>
      <c r="J5" s="4"/>
      <c r="L5" s="3"/>
      <c r="M5" s="4"/>
      <c r="N5" s="3"/>
    </row>
    <row r="6" spans="2:30" ht="15" customHeight="1" x14ac:dyDescent="0.5">
      <c r="C6" s="45"/>
      <c r="E6" s="3"/>
      <c r="F6" s="3"/>
      <c r="G6" s="3"/>
      <c r="H6" s="3"/>
      <c r="I6" s="4"/>
      <c r="J6" s="4"/>
      <c r="L6" s="3"/>
      <c r="M6" s="4"/>
      <c r="N6" s="3"/>
      <c r="Q6" s="151"/>
      <c r="S6" t="s">
        <v>4</v>
      </c>
    </row>
    <row r="7" spans="2:30" ht="15" customHeight="1" x14ac:dyDescent="0.5">
      <c r="C7" s="45"/>
      <c r="E7" s="3"/>
      <c r="F7" s="3"/>
      <c r="G7" s="3"/>
      <c r="H7" s="3"/>
      <c r="I7" s="4"/>
      <c r="J7" s="4"/>
      <c r="L7" s="3"/>
      <c r="M7" s="4"/>
      <c r="N7" s="3"/>
      <c r="Q7" s="152"/>
      <c r="S7" t="s">
        <v>5</v>
      </c>
    </row>
    <row r="8" spans="2:30" ht="15" customHeight="1" x14ac:dyDescent="0.5">
      <c r="C8" s="45"/>
      <c r="E8" s="3"/>
      <c r="F8" s="3"/>
      <c r="G8" s="3"/>
      <c r="H8" s="3"/>
      <c r="I8" s="4"/>
      <c r="J8" s="4"/>
      <c r="L8" s="3"/>
      <c r="M8" s="4"/>
      <c r="N8" s="3"/>
      <c r="Q8" s="13"/>
      <c r="S8" t="s">
        <v>6</v>
      </c>
    </row>
    <row r="9" spans="2:30" ht="15" customHeight="1" x14ac:dyDescent="0.5">
      <c r="C9" s="45"/>
      <c r="E9" s="3"/>
      <c r="F9" s="3"/>
      <c r="G9" s="3"/>
      <c r="H9" s="3"/>
      <c r="I9" s="4"/>
      <c r="J9" s="4"/>
      <c r="L9" s="3"/>
      <c r="M9" s="4"/>
      <c r="N9" s="3"/>
      <c r="Q9" s="15"/>
      <c r="S9" t="s">
        <v>7</v>
      </c>
    </row>
    <row r="10" spans="2:30" ht="15" customHeight="1" x14ac:dyDescent="0.5">
      <c r="C10" s="45"/>
      <c r="E10" s="3"/>
      <c r="F10" s="3"/>
      <c r="G10" s="3"/>
      <c r="H10" s="3"/>
      <c r="I10" s="4"/>
      <c r="J10" s="4"/>
      <c r="L10" s="3"/>
      <c r="M10" s="4"/>
      <c r="N10" s="3"/>
    </row>
    <row r="11" spans="2:30" ht="15" customHeight="1" x14ac:dyDescent="0.5">
      <c r="C11" s="45"/>
      <c r="E11" s="3"/>
      <c r="F11" s="3"/>
      <c r="G11" s="3"/>
      <c r="H11" s="3"/>
      <c r="I11" s="4"/>
      <c r="J11" s="4"/>
      <c r="L11" s="3"/>
      <c r="M11" s="4"/>
      <c r="N11" s="3"/>
      <c r="Q11" s="37" t="s">
        <v>8</v>
      </c>
      <c r="S11" s="28" t="s">
        <v>9</v>
      </c>
    </row>
    <row r="12" spans="2:30" ht="174.75" customHeight="1" x14ac:dyDescent="0.5">
      <c r="C12" s="45"/>
      <c r="E12" s="3"/>
      <c r="F12" s="3"/>
      <c r="G12" s="3"/>
      <c r="H12" s="3"/>
      <c r="I12" s="4"/>
      <c r="J12" s="4"/>
      <c r="L12" s="3"/>
      <c r="M12" s="4"/>
      <c r="N12" s="3"/>
      <c r="Q12" s="192"/>
      <c r="S12" s="45"/>
    </row>
    <row r="13" spans="2:30" ht="15" customHeight="1" x14ac:dyDescent="0.5">
      <c r="C13" s="45"/>
      <c r="E13" s="3"/>
      <c r="F13" s="3"/>
      <c r="G13" s="3"/>
      <c r="H13" s="3"/>
      <c r="I13" s="4"/>
      <c r="J13" s="4"/>
      <c r="L13" s="3"/>
      <c r="M13" s="4"/>
      <c r="N13" s="3"/>
      <c r="Q13" s="192"/>
      <c r="S13" s="45"/>
    </row>
    <row r="14" spans="2:30" x14ac:dyDescent="0.25">
      <c r="E14" s="3"/>
      <c r="F14" s="3"/>
      <c r="G14" s="3"/>
      <c r="H14" s="232" t="s">
        <v>44</v>
      </c>
      <c r="I14" s="233"/>
      <c r="J14" s="233"/>
      <c r="K14" s="233"/>
      <c r="L14" s="233"/>
      <c r="M14" s="234"/>
      <c r="N14" s="3"/>
      <c r="O14" s="3" t="s">
        <v>45</v>
      </c>
      <c r="P14" s="3"/>
      <c r="R14" s="23"/>
      <c r="AC14" s="231"/>
      <c r="AD14" s="231"/>
    </row>
    <row r="15" spans="2:30" ht="60" x14ac:dyDescent="0.25">
      <c r="B15" s="4" t="s">
        <v>46</v>
      </c>
      <c r="C15" t="s">
        <v>47</v>
      </c>
      <c r="E15" s="3" t="s">
        <v>48</v>
      </c>
      <c r="F15" s="4" t="s">
        <v>49</v>
      </c>
      <c r="G15" s="4" t="s">
        <v>50</v>
      </c>
      <c r="H15" s="67" t="s">
        <v>51</v>
      </c>
      <c r="I15" s="68" t="s">
        <v>52</v>
      </c>
      <c r="J15" s="69" t="s">
        <v>53</v>
      </c>
      <c r="L15" s="67" t="s">
        <v>54</v>
      </c>
      <c r="M15" s="69" t="s">
        <v>55</v>
      </c>
      <c r="N15" s="3"/>
      <c r="O15" s="4" t="s">
        <v>56</v>
      </c>
      <c r="P15" s="4"/>
      <c r="R15" s="47"/>
      <c r="S15" s="3"/>
      <c r="T15" s="4"/>
      <c r="U15" s="3"/>
      <c r="V15" s="4"/>
      <c r="W15" s="4"/>
      <c r="X15" s="4"/>
      <c r="Z15" s="4"/>
      <c r="AA15" s="4"/>
      <c r="AB15" s="3"/>
      <c r="AC15" s="4"/>
      <c r="AD15" s="4"/>
    </row>
    <row r="16" spans="2:30" x14ac:dyDescent="0.25">
      <c r="B16" s="218" t="s">
        <v>57</v>
      </c>
      <c r="C16" t="s">
        <v>58</v>
      </c>
      <c r="E16" s="217" t="s">
        <v>59</v>
      </c>
      <c r="F16" s="218" t="s">
        <v>60</v>
      </c>
      <c r="G16" s="59">
        <f>IF(B16="Y",Reference!E26,"")</f>
        <v>2.5</v>
      </c>
      <c r="H16" s="62">
        <f>IF(B16="Y",IF(LEFT(F16,2)="NG", 120, 240),"")</f>
        <v>120</v>
      </c>
      <c r="I16" s="63">
        <f>IF(B16="Y",IF(LEFT(F16,2)="NG",Reference!G26,IF(F16="Electric Resistance",Reference!I26,Reference!K26)),"")</f>
        <v>100</v>
      </c>
      <c r="J16" s="220" t="s">
        <v>57</v>
      </c>
      <c r="L16" s="218"/>
      <c r="M16" s="218"/>
      <c r="N16" s="22"/>
      <c r="O16" s="60">
        <f>IF(B16="N", "",IF(J16="Y",I16,M16*LEFT(L16,3)))</f>
        <v>100</v>
      </c>
      <c r="P16" s="61"/>
      <c r="Q16" s="27" t="s">
        <v>61</v>
      </c>
      <c r="R16" s="3"/>
      <c r="S16" s="3"/>
      <c r="T16" s="3"/>
      <c r="U16" s="3"/>
      <c r="V16" s="3"/>
      <c r="W16" s="3"/>
      <c r="X16" s="3"/>
    </row>
    <row r="17" spans="2:24" x14ac:dyDescent="0.25">
      <c r="B17" s="218" t="s">
        <v>57</v>
      </c>
      <c r="C17" t="s">
        <v>62</v>
      </c>
      <c r="E17" s="217" t="s">
        <v>59</v>
      </c>
      <c r="F17" s="219" t="s">
        <v>63</v>
      </c>
      <c r="G17" s="59">
        <f>IF(B17="Y",IF(LEFT(E17,5)="Swamp","",Reference!W92),"")</f>
        <v>2</v>
      </c>
      <c r="H17" s="62">
        <f>IF(B17="Y",240,"")</f>
        <v>240</v>
      </c>
      <c r="I17" s="63">
        <f>IF(B17="Y",IF(LEFT(E17,5)="Swamp",Reference!$S$28,Reference!$AA$92),"")</f>
        <v>4080</v>
      </c>
      <c r="J17" s="220" t="s">
        <v>57</v>
      </c>
      <c r="L17" s="218"/>
      <c r="M17" s="218"/>
      <c r="N17" s="22"/>
      <c r="O17" s="60">
        <f t="shared" ref="O17:O24" si="0">IF(B17="N","",IF(J17="Y",I17,M17*LEFT(L17,3)))</f>
        <v>4080</v>
      </c>
      <c r="P17" s="3"/>
      <c r="Q17" s="27" t="s">
        <v>64</v>
      </c>
      <c r="R17" s="3"/>
      <c r="S17" s="3"/>
      <c r="T17" s="3"/>
      <c r="U17" s="3"/>
      <c r="V17" s="3"/>
      <c r="W17" s="3"/>
      <c r="X17" s="3"/>
    </row>
    <row r="18" spans="2:24" x14ac:dyDescent="0.25">
      <c r="B18" s="218" t="s">
        <v>57</v>
      </c>
      <c r="C18" t="s">
        <v>65</v>
      </c>
      <c r="E18" s="217" t="s">
        <v>66</v>
      </c>
      <c r="F18" s="219" t="s">
        <v>63</v>
      </c>
      <c r="G18" s="66">
        <f>IF(B18="Y",IF(E18="Air Handler",Reference!Y26,IF(E18="Air Handler w/ Strip Heat",Reference!Y27,"")),"")</f>
        <v>600</v>
      </c>
      <c r="H18" s="62">
        <f>IF(B18="Y",240,"")</f>
        <v>240</v>
      </c>
      <c r="I18" s="63">
        <f>IF(B18="N", "", G18)</f>
        <v>600</v>
      </c>
      <c r="J18" s="220" t="s">
        <v>57</v>
      </c>
      <c r="L18" s="218"/>
      <c r="M18" s="218"/>
      <c r="N18" s="22"/>
      <c r="O18" s="60">
        <f t="shared" si="0"/>
        <v>600</v>
      </c>
      <c r="P18" s="3"/>
      <c r="Q18" s="27" t="s">
        <v>67</v>
      </c>
      <c r="R18" s="3"/>
      <c r="S18" s="3"/>
      <c r="T18" s="3"/>
      <c r="U18" s="3"/>
      <c r="V18" s="3"/>
      <c r="W18" s="3"/>
      <c r="X18" s="3"/>
    </row>
    <row r="19" spans="2:24" x14ac:dyDescent="0.25">
      <c r="B19" s="218" t="s">
        <v>68</v>
      </c>
      <c r="C19" t="str">
        <f>IF(LEFT(F16,2)="NG","Reserved for HP Backup", "Backup Strip Heat")</f>
        <v>Reserved for HP Backup</v>
      </c>
      <c r="E19" s="219" t="s">
        <v>69</v>
      </c>
      <c r="F19" s="219" t="s">
        <v>63</v>
      </c>
      <c r="G19" s="66" t="str">
        <f>IF(B19="Y",IF(LEFT(F16,2)="NG","",Reference!AC26),"")</f>
        <v/>
      </c>
      <c r="H19" s="62" t="str">
        <f>IF(B19="Y",IF(LEFT(F16,2)="NG","",240),"")</f>
        <v/>
      </c>
      <c r="I19" s="63" t="str">
        <f>IF(B19="N","",IF(LEFT(F16,2)="NG","",G19))</f>
        <v/>
      </c>
      <c r="J19" s="220" t="s">
        <v>57</v>
      </c>
      <c r="L19" s="218"/>
      <c r="M19" s="218"/>
      <c r="N19" s="22"/>
      <c r="O19" s="60" t="str">
        <f t="shared" si="0"/>
        <v/>
      </c>
      <c r="P19" s="3"/>
      <c r="Q19" s="27" t="s">
        <v>70</v>
      </c>
      <c r="R19" s="3"/>
      <c r="S19" s="3"/>
      <c r="T19" s="3"/>
      <c r="U19" s="3"/>
      <c r="V19" s="3"/>
      <c r="W19" s="3"/>
      <c r="X19" s="3"/>
    </row>
    <row r="20" spans="2:24" ht="6" customHeight="1" x14ac:dyDescent="0.25">
      <c r="B20" s="195"/>
      <c r="E20" s="195"/>
      <c r="F20" s="195"/>
      <c r="G20" s="196"/>
      <c r="H20" s="197"/>
      <c r="I20" s="198"/>
      <c r="J20" s="195"/>
      <c r="L20" s="195"/>
      <c r="M20" s="195"/>
      <c r="O20" s="199"/>
      <c r="P20" s="3"/>
      <c r="Q20" s="27"/>
      <c r="R20" s="3"/>
      <c r="S20" s="3"/>
      <c r="T20" s="3"/>
      <c r="U20" s="3"/>
      <c r="V20" s="3"/>
      <c r="W20" s="3"/>
      <c r="X20" s="3"/>
    </row>
    <row r="21" spans="2:24" x14ac:dyDescent="0.25">
      <c r="B21" s="218" t="s">
        <v>57</v>
      </c>
      <c r="C21" t="s">
        <v>71</v>
      </c>
      <c r="E21" s="217" t="s">
        <v>72</v>
      </c>
      <c r="F21" s="219" t="s">
        <v>63</v>
      </c>
      <c r="G21" s="66">
        <f>IF(B21="Y",Reference!C36,"")</f>
        <v>480</v>
      </c>
      <c r="H21" s="62">
        <f>IF(B21="Y",120,"")</f>
        <v>120</v>
      </c>
      <c r="I21" s="63">
        <f>IF(B21="N", "", G21)</f>
        <v>480</v>
      </c>
      <c r="J21" s="220" t="s">
        <v>57</v>
      </c>
      <c r="L21" s="218"/>
      <c r="M21" s="218"/>
      <c r="N21" s="22"/>
      <c r="O21" s="60">
        <f t="shared" si="0"/>
        <v>480</v>
      </c>
      <c r="P21" s="3"/>
      <c r="Q21" s="27"/>
      <c r="R21" s="3"/>
      <c r="S21" s="3"/>
      <c r="T21" s="3"/>
      <c r="U21" s="3"/>
      <c r="V21" s="3"/>
      <c r="W21" s="3"/>
      <c r="X21" s="3"/>
    </row>
    <row r="22" spans="2:24" x14ac:dyDescent="0.25">
      <c r="B22" s="218" t="s">
        <v>57</v>
      </c>
      <c r="C22" t="s">
        <v>73</v>
      </c>
      <c r="E22" s="217" t="s">
        <v>72</v>
      </c>
      <c r="F22" s="218" t="s">
        <v>74</v>
      </c>
      <c r="G22" s="66">
        <f>IF(LEFT(F22,2)="NG",Reference!$K$36,IF(F22="Electric Resistance",Reference!$M$36,Reference!$O$36))</f>
        <v>480</v>
      </c>
      <c r="H22" s="62">
        <f>IF(LEFT(F22,2)="NG",120,240)</f>
        <v>120</v>
      </c>
      <c r="I22" s="63">
        <f>G22</f>
        <v>480</v>
      </c>
      <c r="J22" s="220" t="s">
        <v>57</v>
      </c>
      <c r="L22" s="218"/>
      <c r="M22" s="218"/>
      <c r="N22" s="22"/>
      <c r="O22" s="14">
        <f t="shared" si="0"/>
        <v>480</v>
      </c>
      <c r="P22" s="3"/>
      <c r="Q22" s="27" t="s">
        <v>75</v>
      </c>
      <c r="R22" s="3"/>
      <c r="S22" s="3"/>
      <c r="T22" s="3"/>
      <c r="U22" s="3"/>
      <c r="V22" s="3"/>
      <c r="W22" s="3"/>
      <c r="X22" s="3"/>
    </row>
    <row r="23" spans="2:24" x14ac:dyDescent="0.25">
      <c r="B23" s="218" t="s">
        <v>57</v>
      </c>
      <c r="C23" t="s">
        <v>76</v>
      </c>
      <c r="E23" s="218" t="s">
        <v>77</v>
      </c>
      <c r="F23" s="218" t="s">
        <v>74</v>
      </c>
      <c r="G23" s="66">
        <f>IF(B23="N","",IF(LEFT(F23,2)="NG",Reference!$E$43,IF(F23="Electric Resistance",Reference!$G$43,Reference!$I$43)))</f>
        <v>480</v>
      </c>
      <c r="H23" s="62">
        <f>IF(B23="N", "", IF(LEFT(F23,2)="NG",120,240))</f>
        <v>120</v>
      </c>
      <c r="I23" s="63">
        <f>IF(B23="N", "", G23)</f>
        <v>480</v>
      </c>
      <c r="J23" s="220" t="s">
        <v>57</v>
      </c>
      <c r="L23" s="218"/>
      <c r="M23" s="218"/>
      <c r="N23" s="22"/>
      <c r="O23" s="14">
        <f t="shared" si="0"/>
        <v>480</v>
      </c>
      <c r="P23" s="3"/>
      <c r="Q23" s="27" t="s">
        <v>78</v>
      </c>
      <c r="R23" s="3"/>
      <c r="S23" s="3"/>
      <c r="T23" s="3"/>
      <c r="U23" s="3"/>
      <c r="V23" s="3"/>
      <c r="W23" s="3"/>
      <c r="X23" s="3"/>
    </row>
    <row r="24" spans="2:24" x14ac:dyDescent="0.25">
      <c r="B24" s="218" t="s">
        <v>68</v>
      </c>
      <c r="C24" s="10" t="s">
        <v>79</v>
      </c>
      <c r="E24" s="218"/>
      <c r="F24" s="218"/>
      <c r="G24" s="66" t="str">
        <f>IF(B24="N","",IF(LEFT(F24,2)="NG",Reference!$O$43,IF(F24="Electric Resistance",Reference!$Q$43,"")))</f>
        <v/>
      </c>
      <c r="H24" s="62" t="str">
        <f t="shared" ref="H24:H26" si="1">IF(B24="N", "", IF(LEFT(F24,2)="NG",120,240))</f>
        <v/>
      </c>
      <c r="I24" s="63" t="str">
        <f>IF(B24="N", "", G24)</f>
        <v/>
      </c>
      <c r="J24" s="220" t="s">
        <v>57</v>
      </c>
      <c r="L24" s="218"/>
      <c r="M24" s="218"/>
      <c r="N24" s="22"/>
      <c r="O24" s="14" t="str">
        <f t="shared" si="0"/>
        <v/>
      </c>
      <c r="P24" s="3"/>
      <c r="Q24" s="27" t="s">
        <v>80</v>
      </c>
      <c r="R24" s="3"/>
      <c r="S24" s="3"/>
      <c r="T24" s="3"/>
      <c r="U24" s="3"/>
      <c r="V24" s="3"/>
      <c r="W24" s="3"/>
      <c r="X24" s="3"/>
    </row>
    <row r="25" spans="2:24" x14ac:dyDescent="0.25">
      <c r="B25" s="218" t="s">
        <v>68</v>
      </c>
      <c r="C25" s="10" t="s">
        <v>81</v>
      </c>
      <c r="E25" s="218"/>
      <c r="F25" s="218"/>
      <c r="G25" s="66" t="str">
        <f>IF(B25="N","",IF(LEFT(F25,2)="NG",Reference!$W$43,Reference!$Y$43))</f>
        <v/>
      </c>
      <c r="H25" s="62" t="str">
        <f t="shared" si="1"/>
        <v/>
      </c>
      <c r="I25" s="62" t="str">
        <f>G25</f>
        <v/>
      </c>
      <c r="J25" s="220" t="s">
        <v>57</v>
      </c>
      <c r="L25" s="218"/>
      <c r="M25" s="218"/>
      <c r="N25" s="22"/>
      <c r="O25" s="14" t="str">
        <f t="shared" ref="O25:O28" si="2">IF(B25="N","",IF(J25="Y",I25,M25*LEFT(L25,3)))</f>
        <v/>
      </c>
      <c r="P25" s="3"/>
      <c r="Q25" s="27" t="s">
        <v>78</v>
      </c>
      <c r="R25" s="3"/>
      <c r="S25" s="3"/>
      <c r="T25" s="3"/>
      <c r="U25" s="3"/>
      <c r="V25" s="3"/>
      <c r="W25" s="3"/>
      <c r="X25" s="3"/>
    </row>
    <row r="26" spans="2:24" x14ac:dyDescent="0.25">
      <c r="B26" s="218" t="s">
        <v>68</v>
      </c>
      <c r="C26" s="10" t="s">
        <v>82</v>
      </c>
      <c r="E26" s="218"/>
      <c r="F26" s="218"/>
      <c r="G26" s="66" t="str">
        <f>IF(B26="N","",IF(LEFT(F26,2)="NG",Reference!$AE$43,IF(F26="Electric Resistance", Reference!$AG$43, Reference!$AI$43)))</f>
        <v/>
      </c>
      <c r="H26" s="62" t="str">
        <f t="shared" si="1"/>
        <v/>
      </c>
      <c r="I26" s="62" t="str">
        <f>G26</f>
        <v/>
      </c>
      <c r="J26" s="220" t="s">
        <v>57</v>
      </c>
      <c r="L26" s="218"/>
      <c r="M26" s="218"/>
      <c r="N26" s="22"/>
      <c r="O26" s="14" t="str">
        <f t="shared" si="2"/>
        <v/>
      </c>
      <c r="P26" s="3"/>
      <c r="Q26" s="27" t="s">
        <v>83</v>
      </c>
      <c r="R26" s="3"/>
      <c r="S26" s="3"/>
      <c r="T26" s="3"/>
      <c r="U26" s="3"/>
      <c r="V26" s="3"/>
      <c r="W26" s="3"/>
      <c r="X26" s="3"/>
    </row>
    <row r="27" spans="2:24" x14ac:dyDescent="0.25">
      <c r="B27" s="218" t="s">
        <v>57</v>
      </c>
      <c r="C27" t="s">
        <v>84</v>
      </c>
      <c r="E27" s="218" t="s">
        <v>85</v>
      </c>
      <c r="F27" s="218" t="s">
        <v>74</v>
      </c>
      <c r="G27" s="66">
        <f>IF(B27="N","",IF(LEFT(E27,5)="Tankl",IF(LEFT(F27,2)="NG",Reference!E49,VLOOKUP(E27,Reference!A49:I50,9)),IF(LEFT(F27,2)="NG",Reference!G49,IF(F27="Electric Resistance",VLOOKUP(E27,Reference!A51:K52,11),VLOOKUP(E27,Reference!A51:M52,13)))))</f>
        <v>305</v>
      </c>
      <c r="H27" s="62">
        <f>IF(B27="N","",IF(LEFT(F27,2)="NG",120,240))</f>
        <v>120</v>
      </c>
      <c r="I27" s="62">
        <f>IF(B27="N","",G27)</f>
        <v>305</v>
      </c>
      <c r="J27" s="220" t="s">
        <v>57</v>
      </c>
      <c r="L27" s="218"/>
      <c r="M27" s="218"/>
      <c r="N27" s="22"/>
      <c r="O27" s="14">
        <f t="shared" si="2"/>
        <v>305</v>
      </c>
      <c r="P27" s="3"/>
      <c r="R27" s="3"/>
      <c r="S27" s="3"/>
      <c r="T27" s="3"/>
      <c r="U27" s="3"/>
      <c r="V27" s="3"/>
      <c r="W27" s="3"/>
      <c r="X27" s="3"/>
    </row>
    <row r="28" spans="2:24" x14ac:dyDescent="0.25">
      <c r="B28" s="218" t="s">
        <v>68</v>
      </c>
      <c r="C28" t="s">
        <v>86</v>
      </c>
      <c r="E28" s="218"/>
      <c r="F28" s="218"/>
      <c r="G28" s="66" t="str">
        <f>IF(B28="N","",IF(LEFT(E28,5)="Tankl",IF(LEFT(F28,2)="NG",Reference!E49,VLOOKUP(E28,Reference!A49:I50,9)),IF(LEFT(F28,2)="NG",Reference!G49,IF(F28="Electric Resistance",VLOOKUP(E28,Reference!A51:K52,11),VLOOKUP(E28,Reference!A51:M52,13)))))</f>
        <v/>
      </c>
      <c r="H28" s="62" t="str">
        <f>IF(B28="N","",IF(LEFT(F28,2)="NG",120,240))</f>
        <v/>
      </c>
      <c r="I28" s="62" t="str">
        <f>IF(B28="N","",G28)</f>
        <v/>
      </c>
      <c r="J28" s="220" t="s">
        <v>57</v>
      </c>
      <c r="L28" s="218"/>
      <c r="M28" s="218"/>
      <c r="N28" s="22"/>
      <c r="O28" s="14" t="str">
        <f t="shared" si="2"/>
        <v/>
      </c>
      <c r="P28" s="3"/>
      <c r="Q28" s="27"/>
      <c r="R28" s="3"/>
      <c r="S28" s="3"/>
      <c r="T28" s="3"/>
      <c r="U28" s="3"/>
      <c r="V28" s="3"/>
      <c r="W28" s="3"/>
    </row>
    <row r="29" spans="2:24" x14ac:dyDescent="0.25">
      <c r="B29" s="218" t="s">
        <v>57</v>
      </c>
      <c r="C29" t="s">
        <v>87</v>
      </c>
      <c r="E29" s="218" t="s">
        <v>88</v>
      </c>
      <c r="F29" s="14" t="str">
        <f>IF(B29="Y","Electric","")</f>
        <v>Electric</v>
      </c>
      <c r="G29" s="14">
        <f>IF(B29="N","",VLOOKUP(E29,Reference!A55:C57,3))</f>
        <v>7680</v>
      </c>
      <c r="H29" s="62">
        <f>IF(B29="N", "", 240)</f>
        <v>240</v>
      </c>
      <c r="I29" s="62">
        <f>IF(B29="N", "", G29)</f>
        <v>7680</v>
      </c>
      <c r="J29" s="220" t="s">
        <v>57</v>
      </c>
      <c r="L29" s="218"/>
      <c r="M29" s="218"/>
      <c r="N29" s="22"/>
      <c r="O29" s="14">
        <f>IF(B29="N","",IF(J29="Y",I29,M29*LEFT(L29,3)))</f>
        <v>7680</v>
      </c>
      <c r="P29" s="3"/>
      <c r="Q29" s="27" t="s">
        <v>779</v>
      </c>
      <c r="R29" s="3"/>
      <c r="S29" s="3"/>
      <c r="T29" s="3"/>
      <c r="U29" s="3"/>
      <c r="V29" s="3"/>
      <c r="W29" s="3"/>
      <c r="X29" s="3"/>
    </row>
    <row r="30" spans="2:24" x14ac:dyDescent="0.25">
      <c r="B30" s="218" t="s">
        <v>68</v>
      </c>
      <c r="C30" t="s">
        <v>90</v>
      </c>
      <c r="E30" s="218"/>
      <c r="F30" s="218"/>
      <c r="G30" s="3"/>
      <c r="H30" s="3"/>
      <c r="L30" s="218"/>
      <c r="M30" s="218"/>
      <c r="N30" s="22"/>
      <c r="O30" s="14" t="str">
        <f>IF(B30="N","",L30*M30)</f>
        <v/>
      </c>
      <c r="P30" s="3"/>
      <c r="Q30" s="27" t="s">
        <v>91</v>
      </c>
      <c r="R30" s="3"/>
      <c r="S30" s="3"/>
      <c r="T30" s="3"/>
      <c r="U30" s="3"/>
      <c r="V30" s="3"/>
      <c r="W30" s="3"/>
    </row>
    <row r="31" spans="2:24" x14ac:dyDescent="0.25">
      <c r="B31" s="218" t="s">
        <v>68</v>
      </c>
      <c r="C31" t="s">
        <v>92</v>
      </c>
      <c r="E31" s="218"/>
      <c r="F31" s="218"/>
      <c r="G31" s="3"/>
      <c r="H31" s="3"/>
      <c r="L31" s="218"/>
      <c r="M31" s="218"/>
      <c r="N31" s="22"/>
      <c r="O31" s="14" t="str">
        <f t="shared" ref="O31:O32" si="3">IF(B31="N","",L31*M31)</f>
        <v/>
      </c>
      <c r="P31" s="3"/>
      <c r="Q31" s="27" t="s">
        <v>91</v>
      </c>
      <c r="R31" s="3"/>
      <c r="S31" s="3"/>
      <c r="T31" s="3"/>
      <c r="U31" s="3"/>
      <c r="V31" s="3"/>
      <c r="W31" s="3"/>
    </row>
    <row r="32" spans="2:24" x14ac:dyDescent="0.25">
      <c r="B32" s="218" t="s">
        <v>68</v>
      </c>
      <c r="C32" t="s">
        <v>93</v>
      </c>
      <c r="E32" s="218"/>
      <c r="F32" s="218"/>
      <c r="G32" s="3"/>
      <c r="H32" s="3"/>
      <c r="L32" s="218"/>
      <c r="M32" s="218"/>
      <c r="N32" s="22"/>
      <c r="O32" s="14" t="str">
        <f t="shared" si="3"/>
        <v/>
      </c>
      <c r="P32" s="3"/>
      <c r="Q32" s="27" t="s">
        <v>91</v>
      </c>
      <c r="R32" s="3"/>
      <c r="S32" s="3"/>
      <c r="T32" s="3"/>
      <c r="U32" s="3"/>
      <c r="V32" s="3"/>
      <c r="W32" s="3"/>
    </row>
    <row r="33" spans="2:22" x14ac:dyDescent="0.25">
      <c r="V33" s="3"/>
    </row>
    <row r="34" spans="2:22" ht="30" x14ac:dyDescent="0.4">
      <c r="C34" s="204" t="s">
        <v>94</v>
      </c>
    </row>
    <row r="35" spans="2:22" ht="31.5" x14ac:dyDescent="0.5">
      <c r="C35" s="45"/>
    </row>
    <row r="36" spans="2:22" ht="85.5" customHeight="1" x14ac:dyDescent="0.5">
      <c r="C36" s="45"/>
    </row>
    <row r="38" spans="2:22" ht="21" x14ac:dyDescent="0.35">
      <c r="B38" s="206" t="s">
        <v>95</v>
      </c>
      <c r="C38" s="32"/>
    </row>
    <row r="39" spans="2:22" ht="45" x14ac:dyDescent="0.25">
      <c r="B39" s="3"/>
      <c r="C39" t="s">
        <v>47</v>
      </c>
      <c r="E39" s="3" t="s">
        <v>96</v>
      </c>
      <c r="F39" s="4" t="s">
        <v>97</v>
      </c>
      <c r="G39" s="3"/>
      <c r="H39" s="4" t="s">
        <v>51</v>
      </c>
      <c r="I39" s="4" t="s">
        <v>98</v>
      </c>
      <c r="J39" s="4" t="s">
        <v>53</v>
      </c>
      <c r="L39" s="3"/>
      <c r="M39" s="4" t="s">
        <v>99</v>
      </c>
      <c r="N39" s="3"/>
      <c r="O39" s="4" t="s">
        <v>56</v>
      </c>
      <c r="P39" s="4"/>
      <c r="R39" s="23"/>
    </row>
    <row r="40" spans="2:22" x14ac:dyDescent="0.25">
      <c r="B40" s="200" t="s">
        <v>100</v>
      </c>
      <c r="C40" s="20" t="s">
        <v>101</v>
      </c>
      <c r="E40" s="3"/>
      <c r="F40" s="3"/>
      <c r="G40" s="3"/>
      <c r="H40" s="14">
        <v>120</v>
      </c>
      <c r="I40" s="42">
        <v>3</v>
      </c>
      <c r="J40" s="217" t="s">
        <v>57</v>
      </c>
      <c r="L40" s="3"/>
      <c r="M40" s="221"/>
      <c r="N40" s="3"/>
      <c r="O40" s="14">
        <f>IF(J40="Y",I40*'Property Information'!D24,M40*'Property Information'!D24)</f>
        <v>4500</v>
      </c>
      <c r="P40" s="3"/>
      <c r="Q40" s="27" t="s">
        <v>102</v>
      </c>
      <c r="R40" s="23"/>
    </row>
    <row r="41" spans="2:22" x14ac:dyDescent="0.25">
      <c r="B41" s="200" t="s">
        <v>100</v>
      </c>
      <c r="C41" s="20" t="s">
        <v>103</v>
      </c>
      <c r="E41" s="3"/>
      <c r="F41" s="217">
        <v>2</v>
      </c>
      <c r="G41" s="3"/>
      <c r="H41" s="14">
        <v>120</v>
      </c>
      <c r="I41" s="42">
        <v>1500</v>
      </c>
      <c r="J41" s="217" t="s">
        <v>57</v>
      </c>
      <c r="L41" s="3"/>
      <c r="M41" s="221"/>
      <c r="N41" s="3"/>
      <c r="O41" s="14">
        <f>IF(J41="Y",I41*F41,M41*F41)</f>
        <v>3000</v>
      </c>
      <c r="P41" s="3"/>
      <c r="Q41" s="27" t="s">
        <v>104</v>
      </c>
      <c r="R41" s="23"/>
    </row>
    <row r="42" spans="2:22" x14ac:dyDescent="0.25">
      <c r="B42" s="200" t="s">
        <v>100</v>
      </c>
      <c r="C42" s="20" t="s">
        <v>105</v>
      </c>
      <c r="E42" s="3"/>
      <c r="F42" s="217">
        <v>1</v>
      </c>
      <c r="G42" s="3"/>
      <c r="H42" s="14">
        <v>120</v>
      </c>
      <c r="I42" s="42">
        <v>1500</v>
      </c>
      <c r="J42" s="217" t="s">
        <v>57</v>
      </c>
      <c r="L42" s="3"/>
      <c r="M42" s="221"/>
      <c r="N42" s="3"/>
      <c r="O42" s="14">
        <f>IF(J42="Y",I42*F42,M42*F42)</f>
        <v>1500</v>
      </c>
      <c r="P42" s="3"/>
      <c r="Q42" s="27" t="s">
        <v>106</v>
      </c>
      <c r="R42" s="23"/>
    </row>
    <row r="43" spans="2:22" x14ac:dyDescent="0.25">
      <c r="C43" s="20"/>
      <c r="E43" s="3"/>
      <c r="F43" s="3"/>
      <c r="G43" s="3"/>
      <c r="H43" s="26"/>
      <c r="I43" s="46"/>
      <c r="J43" s="26"/>
      <c r="L43" s="3"/>
      <c r="M43" s="46"/>
      <c r="N43" s="3"/>
      <c r="O43" s="26"/>
      <c r="P43" s="3"/>
      <c r="R43" s="23"/>
    </row>
    <row r="44" spans="2:22" ht="21" x14ac:dyDescent="0.35">
      <c r="B44" s="206" t="s">
        <v>107</v>
      </c>
      <c r="C44" s="20"/>
      <c r="E44" s="3"/>
      <c r="F44" s="3"/>
      <c r="G44" s="3"/>
      <c r="H44" s="3"/>
      <c r="I44" s="4"/>
      <c r="J44" s="3"/>
      <c r="L44" s="3"/>
      <c r="M44" s="4"/>
      <c r="N44" s="3"/>
      <c r="O44" s="3"/>
      <c r="P44" s="3"/>
      <c r="R44" s="23"/>
    </row>
    <row r="45" spans="2:22" ht="45" x14ac:dyDescent="0.25">
      <c r="B45" s="4" t="s">
        <v>108</v>
      </c>
      <c r="C45" t="s">
        <v>47</v>
      </c>
      <c r="E45" s="3" t="s">
        <v>96</v>
      </c>
      <c r="F45" s="4" t="s">
        <v>97</v>
      </c>
      <c r="G45" s="3"/>
      <c r="H45" s="4" t="s">
        <v>51</v>
      </c>
      <c r="I45" s="4" t="s">
        <v>98</v>
      </c>
      <c r="J45" s="4" t="s">
        <v>53</v>
      </c>
      <c r="L45" s="3"/>
      <c r="M45" s="4" t="s">
        <v>99</v>
      </c>
      <c r="N45" s="3"/>
      <c r="O45" s="4" t="s">
        <v>56</v>
      </c>
      <c r="P45" s="4"/>
      <c r="R45" s="23"/>
    </row>
    <row r="46" spans="2:22" x14ac:dyDescent="0.25">
      <c r="B46" s="218" t="s">
        <v>57</v>
      </c>
      <c r="C46" t="s">
        <v>109</v>
      </c>
      <c r="E46" s="3"/>
      <c r="F46" s="3"/>
      <c r="G46" s="3"/>
      <c r="H46" s="14">
        <v>120</v>
      </c>
      <c r="I46" s="42">
        <v>750</v>
      </c>
      <c r="J46" s="217" t="s">
        <v>57</v>
      </c>
      <c r="L46" s="3"/>
      <c r="M46" s="221"/>
      <c r="N46" s="3"/>
      <c r="O46" s="14">
        <f>IF(J46="Y",I46,M46)</f>
        <v>750</v>
      </c>
      <c r="P46" s="3"/>
      <c r="R46" s="23"/>
    </row>
    <row r="47" spans="2:22" x14ac:dyDescent="0.25">
      <c r="B47" s="218" t="s">
        <v>57</v>
      </c>
      <c r="C47" t="s">
        <v>110</v>
      </c>
      <c r="E47" s="3"/>
      <c r="F47" s="3"/>
      <c r="G47" s="3"/>
      <c r="H47" s="14">
        <v>120</v>
      </c>
      <c r="I47" s="42">
        <v>600</v>
      </c>
      <c r="J47" s="217" t="s">
        <v>57</v>
      </c>
      <c r="L47" s="3"/>
      <c r="M47" s="221"/>
      <c r="N47" s="3"/>
      <c r="O47" s="14">
        <f>IF(J47="Y",I47,M47)</f>
        <v>600</v>
      </c>
      <c r="P47" s="3"/>
      <c r="R47" s="23"/>
    </row>
    <row r="48" spans="2:22" x14ac:dyDescent="0.25">
      <c r="B48" s="218" t="s">
        <v>57</v>
      </c>
      <c r="C48" t="s">
        <v>111</v>
      </c>
      <c r="E48" s="3"/>
      <c r="F48" s="3"/>
      <c r="G48" s="3"/>
      <c r="H48" s="14">
        <v>120</v>
      </c>
      <c r="I48" s="42">
        <v>1200</v>
      </c>
      <c r="J48" s="217" t="s">
        <v>57</v>
      </c>
      <c r="L48" s="3"/>
      <c r="M48" s="221"/>
      <c r="N48" s="3"/>
      <c r="O48" s="14">
        <f t="shared" ref="O48:O50" si="4">IF(J48="Y",I48,M48)</f>
        <v>1200</v>
      </c>
      <c r="P48" s="3"/>
      <c r="R48" s="23"/>
    </row>
    <row r="49" spans="2:18" x14ac:dyDescent="0.25">
      <c r="B49" s="218" t="s">
        <v>57</v>
      </c>
      <c r="C49" t="s">
        <v>112</v>
      </c>
      <c r="E49" s="3"/>
      <c r="F49" s="3"/>
      <c r="G49" s="3"/>
      <c r="H49" s="14">
        <v>120</v>
      </c>
      <c r="I49" s="42">
        <v>1500</v>
      </c>
      <c r="J49" s="217" t="s">
        <v>57</v>
      </c>
      <c r="L49" s="3"/>
      <c r="M49" s="221"/>
      <c r="N49" s="3"/>
      <c r="O49" s="14">
        <f t="shared" si="4"/>
        <v>1500</v>
      </c>
      <c r="P49" s="3"/>
      <c r="R49" s="23"/>
    </row>
    <row r="50" spans="2:18" x14ac:dyDescent="0.25">
      <c r="B50" s="218" t="s">
        <v>57</v>
      </c>
      <c r="C50" t="s">
        <v>113</v>
      </c>
      <c r="E50" s="3"/>
      <c r="F50" s="3"/>
      <c r="G50" s="3"/>
      <c r="H50" s="14">
        <v>120</v>
      </c>
      <c r="I50" s="42">
        <v>250</v>
      </c>
      <c r="J50" s="217" t="s">
        <v>57</v>
      </c>
      <c r="L50" s="3"/>
      <c r="M50" s="221"/>
      <c r="N50" s="3"/>
      <c r="O50" s="14">
        <f t="shared" si="4"/>
        <v>250</v>
      </c>
      <c r="P50" s="3"/>
      <c r="R50" s="23"/>
    </row>
    <row r="51" spans="2:18" x14ac:dyDescent="0.25">
      <c r="B51" s="218" t="s">
        <v>57</v>
      </c>
      <c r="C51" t="s">
        <v>114</v>
      </c>
      <c r="E51" s="3"/>
      <c r="F51" s="217">
        <v>2</v>
      </c>
      <c r="G51" s="3"/>
      <c r="H51" s="14">
        <v>120</v>
      </c>
      <c r="I51" s="42">
        <v>150</v>
      </c>
      <c r="J51" s="217" t="s">
        <v>57</v>
      </c>
      <c r="L51" s="3"/>
      <c r="M51" s="221"/>
      <c r="N51" s="3"/>
      <c r="O51" s="14">
        <f>IF(J51="Y",I51*F51,M51*F51)</f>
        <v>300</v>
      </c>
      <c r="P51" s="3"/>
      <c r="R51" s="23"/>
    </row>
    <row r="52" spans="2:18" x14ac:dyDescent="0.25">
      <c r="B52" s="218" t="s">
        <v>68</v>
      </c>
      <c r="C52" t="s">
        <v>115</v>
      </c>
      <c r="E52" s="220"/>
      <c r="F52" s="218"/>
      <c r="G52" s="3"/>
      <c r="H52" s="14">
        <v>120</v>
      </c>
      <c r="I52" s="4"/>
      <c r="J52" s="4"/>
      <c r="L52" s="3"/>
      <c r="M52" s="221"/>
      <c r="N52" s="3"/>
      <c r="O52" s="14" t="str">
        <f>IF(B52="Y",F52*M52,"")</f>
        <v/>
      </c>
      <c r="P52" s="3"/>
      <c r="R52" s="23"/>
    </row>
    <row r="53" spans="2:18" x14ac:dyDescent="0.25">
      <c r="B53" s="218" t="s">
        <v>68</v>
      </c>
      <c r="C53" t="s">
        <v>116</v>
      </c>
      <c r="E53" s="220"/>
      <c r="F53" s="218"/>
      <c r="G53" s="3"/>
      <c r="H53" s="14">
        <v>120</v>
      </c>
      <c r="I53" s="4"/>
      <c r="J53" s="4"/>
      <c r="L53" s="3"/>
      <c r="M53" s="221"/>
      <c r="N53" s="3"/>
      <c r="O53" s="14" t="str">
        <f>IF(B53="Y",F53*M53,"")</f>
        <v/>
      </c>
      <c r="P53" s="3"/>
      <c r="R53" s="23"/>
    </row>
    <row r="54" spans="2:18" x14ac:dyDescent="0.25">
      <c r="B54" s="218" t="s">
        <v>68</v>
      </c>
      <c r="C54" t="s">
        <v>117</v>
      </c>
      <c r="E54" s="220"/>
      <c r="F54" s="218"/>
      <c r="G54" s="3"/>
      <c r="H54" s="14">
        <v>120</v>
      </c>
      <c r="I54" s="4"/>
      <c r="J54" s="4"/>
      <c r="L54" s="3"/>
      <c r="M54" s="221"/>
      <c r="N54" s="3"/>
      <c r="O54" s="14" t="str">
        <f>IF(B54="Y",F54*M54,"")</f>
        <v/>
      </c>
      <c r="P54" s="3"/>
      <c r="R54" s="23"/>
    </row>
    <row r="55" spans="2:18" x14ac:dyDescent="0.25">
      <c r="C55" s="9"/>
      <c r="E55" s="3"/>
      <c r="F55" s="3"/>
      <c r="G55" s="3"/>
      <c r="H55" s="3"/>
      <c r="I55" s="4"/>
      <c r="J55" s="4"/>
      <c r="L55" s="3"/>
      <c r="M55" s="4"/>
      <c r="N55" s="3"/>
      <c r="O55" s="3"/>
      <c r="P55" s="3"/>
      <c r="R55" s="23"/>
    </row>
    <row r="56" spans="2:18" x14ac:dyDescent="0.25">
      <c r="F56" s="27"/>
    </row>
  </sheetData>
  <sheetProtection algorithmName="SHA-512" hashValue="uIdSTfYF+hcrod1VtArF0jfxiXkcFGGaRikyE6TVblPTOSRHK2Mvaqw5n906cycI0RdP6uWfOVdadzjeqdBF7w==" saltValue="lzCLQ+tVEnFcJ3xcucSTsA==" spinCount="100000" sheet="1" objects="1" scenarios="1" selectLockedCells="1"/>
  <mergeCells count="2">
    <mergeCell ref="AC14:AD14"/>
    <mergeCell ref="H14:M14"/>
  </mergeCells>
  <conditionalFormatting sqref="B16:B32 B46:B54">
    <cfRule type="expression" dxfId="245" priority="1">
      <formula>$B16="Y"</formula>
    </cfRule>
    <cfRule type="expression" dxfId="244" priority="2">
      <formula>$B16="N"</formula>
    </cfRule>
  </conditionalFormatting>
  <conditionalFormatting sqref="E16:E18 E20:E27 E28:F28 E29 E30:F32 J16:J29">
    <cfRule type="expression" dxfId="243" priority="22" stopIfTrue="1">
      <formula>$B16="Y"</formula>
    </cfRule>
  </conditionalFormatting>
  <conditionalFormatting sqref="E16:E18 J16:J29 E20:E27 E28:F28 E29 E30:F32">
    <cfRule type="expression" dxfId="242" priority="23">
      <formula>$B16="N"</formula>
    </cfRule>
  </conditionalFormatting>
  <conditionalFormatting sqref="E52:E54">
    <cfRule type="expression" dxfId="241" priority="34">
      <formula>AND($B52="Y",ISBLANK($E52))</formula>
    </cfRule>
    <cfRule type="expression" dxfId="240" priority="35">
      <formula>$B52="Y"</formula>
    </cfRule>
    <cfRule type="expression" dxfId="239" priority="63">
      <formula>$B52="N"</formula>
    </cfRule>
    <cfRule type="expression" dxfId="238" priority="64">
      <formula>$B52="Y"</formula>
    </cfRule>
  </conditionalFormatting>
  <conditionalFormatting sqref="F16 E16:E18 E20:E27 F22:F27 E28:F28 E29 E30:F32">
    <cfRule type="expression" dxfId="237" priority="19">
      <formula>AND(ISBLANK(E16),$B16="Y")</formula>
    </cfRule>
  </conditionalFormatting>
  <conditionalFormatting sqref="F16 F22:F27">
    <cfRule type="expression" dxfId="236" priority="20" stopIfTrue="1">
      <formula>$B16="Y"</formula>
    </cfRule>
    <cfRule type="expression" dxfId="235" priority="21">
      <formula>$B16="N"</formula>
    </cfRule>
  </conditionalFormatting>
  <conditionalFormatting sqref="F52:F54">
    <cfRule type="expression" dxfId="234" priority="31" stopIfTrue="1">
      <formula>$B52="N"</formula>
    </cfRule>
    <cfRule type="expression" dxfId="233" priority="32" stopIfTrue="1">
      <formula>AND($B52="Y",ISBLANK($F52))</formula>
    </cfRule>
    <cfRule type="expression" dxfId="232" priority="33">
      <formula>$B52="Y"</formula>
    </cfRule>
  </conditionalFormatting>
  <conditionalFormatting sqref="G16:I29">
    <cfRule type="expression" dxfId="231" priority="3">
      <formula>ISERROR(G16)</formula>
    </cfRule>
  </conditionalFormatting>
  <conditionalFormatting sqref="L16:M29">
    <cfRule type="expression" dxfId="230" priority="28">
      <formula>$J16="Y"</formula>
    </cfRule>
    <cfRule type="expression" dxfId="229" priority="29">
      <formula>AND(ISBLANK(L16),$J16="N")</formula>
    </cfRule>
    <cfRule type="expression" dxfId="228" priority="30">
      <formula>$J16="N"</formula>
    </cfRule>
  </conditionalFormatting>
  <conditionalFormatting sqref="L30:M32">
    <cfRule type="expression" dxfId="227" priority="14" stopIfTrue="1">
      <formula>$B30="N"</formula>
    </cfRule>
    <cfRule type="expression" dxfId="226" priority="15">
      <formula>AND($B30="Y",ISBLANK(L30))</formula>
    </cfRule>
  </conditionalFormatting>
  <conditionalFormatting sqref="M40:M42 M46:M51">
    <cfRule type="expression" dxfId="225" priority="45" stopIfTrue="1">
      <formula>$J40="Y"</formula>
    </cfRule>
    <cfRule type="expression" dxfId="224" priority="46">
      <formula>AND(ISBLANK($M40),$J40="N")</formula>
    </cfRule>
    <cfRule type="expression" dxfId="223" priority="47">
      <formula>$J40="N"</formula>
    </cfRule>
  </conditionalFormatting>
  <conditionalFormatting sqref="M52:M54">
    <cfRule type="expression" dxfId="222" priority="36" stopIfTrue="1">
      <formula>$B52="N"</formula>
    </cfRule>
    <cfRule type="expression" dxfId="221" priority="37" stopIfTrue="1">
      <formula>AND($B52="Y",ISBLANK($M52))</formula>
    </cfRule>
    <cfRule type="expression" dxfId="220" priority="38">
      <formula>$B52="Y"</formula>
    </cfRule>
  </conditionalFormatting>
  <conditionalFormatting sqref="O16:O32">
    <cfRule type="expression" dxfId="219" priority="10" stopIfTrue="1">
      <formula>$O16=0</formula>
    </cfRule>
    <cfRule type="expression" dxfId="218" priority="12">
      <formula>ISERROR($O16)</formula>
    </cfRule>
  </conditionalFormatting>
  <conditionalFormatting sqref="O40:O42">
    <cfRule type="expression" dxfId="217" priority="8" stopIfTrue="1">
      <formula>$O40=0</formula>
    </cfRule>
    <cfRule type="expression" dxfId="216" priority="9">
      <formula>ISERROR($O40)</formula>
    </cfRule>
  </conditionalFormatting>
  <conditionalFormatting sqref="O46:O54">
    <cfRule type="expression" dxfId="215" priority="7">
      <formula>IF($B46="Y",$O46=0)</formula>
    </cfRule>
  </conditionalFormatting>
  <pageMargins left="0.7" right="0.7" top="0.75" bottom="0.75" header="0.3" footer="0.3"/>
  <ignoredErrors>
    <ignoredError sqref="I22" formula="1"/>
  </ignoredErrors>
  <drawing r:id="rId1"/>
  <extLst>
    <ext xmlns:x14="http://schemas.microsoft.com/office/spreadsheetml/2009/9/main" uri="{CCE6A557-97BC-4b89-ADB6-D9C93CAAB3DF}">
      <x14:dataValidations xmlns:xm="http://schemas.microsoft.com/office/excel/2006/main" count="26">
        <x14:dataValidation type="list" allowBlank="1" showInputMessage="1" showErrorMessage="1" xr:uid="{57974245-5D8A-4195-AE3B-D124260B17AF}">
          <x14:formula1>
            <xm:f>Reference!$A$16:$A$17</xm:f>
          </x14:formula1>
          <xm:sqref>B46:B54 J40:J42 J46:J51 B16:B32 J16:J29</xm:sqref>
        </x14:dataValidation>
        <x14:dataValidation type="list" allowBlank="1" showInputMessage="1" showErrorMessage="1" xr:uid="{C1349C8A-409A-4D6C-A947-A3B638D0A382}">
          <x14:formula1>
            <xm:f>Reference!$E$16:$E$19</xm:f>
          </x14:formula1>
          <xm:sqref>F41</xm:sqref>
        </x14:dataValidation>
        <x14:dataValidation type="list" allowBlank="1" showInputMessage="1" showErrorMessage="1" xr:uid="{67704484-4E09-4B99-98DB-A0C2D427F0A1}">
          <x14:formula1>
            <xm:f>Reference!$A$26:$A$28</xm:f>
          </x14:formula1>
          <xm:sqref>E16</xm:sqref>
        </x14:dataValidation>
        <x14:dataValidation type="list" allowBlank="1" showInputMessage="1" showErrorMessage="1" xr:uid="{A105932E-17BA-4498-AE05-8CD039C73513}">
          <x14:formula1>
            <xm:f>Reference!$C$26:$C$30</xm:f>
          </x14:formula1>
          <xm:sqref>T16</xm:sqref>
        </x14:dataValidation>
        <x14:dataValidation type="list" allowBlank="1" showInputMessage="1" showErrorMessage="1" xr:uid="{386C311B-3308-4916-A51E-E6DCBD671392}">
          <x14:formula1>
            <xm:f>Reference!$C$26:$C$28</xm:f>
          </x14:formula1>
          <xm:sqref>F16</xm:sqref>
        </x14:dataValidation>
        <x14:dataValidation type="list" allowBlank="1" showInputMessage="1" showErrorMessage="1" xr:uid="{449DCA8A-ED39-4495-9241-4DB6A667E772}">
          <x14:formula1>
            <xm:f>Reference!$O$26:$O$28</xm:f>
          </x14:formula1>
          <xm:sqref>E17</xm:sqref>
        </x14:dataValidation>
        <x14:dataValidation type="list" allowBlank="1" showInputMessage="1" showErrorMessage="1" xr:uid="{93046342-CEB7-4BCC-B37E-50488FC8F728}">
          <x14:formula1>
            <xm:f>Reference!$C$43:$C$46</xm:f>
          </x14:formula1>
          <xm:sqref>T23:T26 F23</xm:sqref>
        </x14:dataValidation>
        <x14:dataValidation type="list" allowBlank="1" showInputMessage="1" showErrorMessage="1" xr:uid="{E883BDF3-F4B6-4AE8-9DC1-CEC06D10DE96}">
          <x14:formula1>
            <xm:f>Reference!$A$43:$A$45</xm:f>
          </x14:formula1>
          <xm:sqref>E23</xm:sqref>
        </x14:dataValidation>
        <x14:dataValidation type="list" allowBlank="1" showInputMessage="1" showErrorMessage="1" xr:uid="{5CAD6292-FC76-4E71-BADB-F3A5FE461C62}">
          <x14:formula1>
            <xm:f>Reference!$K$43</xm:f>
          </x14:formula1>
          <xm:sqref>E24</xm:sqref>
        </x14:dataValidation>
        <x14:dataValidation type="list" allowBlank="1" showInputMessage="1" showErrorMessage="1" xr:uid="{DECF1A2B-D472-4464-B267-57F57C7761A3}">
          <x14:formula1>
            <xm:f>Reference!$S$43</xm:f>
          </x14:formula1>
          <xm:sqref>E25</xm:sqref>
        </x14:dataValidation>
        <x14:dataValidation type="list" allowBlank="1" showInputMessage="1" showErrorMessage="1" xr:uid="{2E33B8B5-283B-4319-8994-0910FD73D3E1}">
          <x14:formula1>
            <xm:f>Reference!$AA$43:$AA$44</xm:f>
          </x14:formula1>
          <xm:sqref>E26</xm:sqref>
        </x14:dataValidation>
        <x14:dataValidation type="list" allowBlank="1" showInputMessage="1" showErrorMessage="1" xr:uid="{806EE58D-C87E-44F6-86D0-775A2B9228FE}">
          <x14:formula1>
            <xm:f>Reference!$M$43:$M$44</xm:f>
          </x14:formula1>
          <xm:sqref>F24</xm:sqref>
        </x14:dataValidation>
        <x14:dataValidation type="list" allowBlank="1" showInputMessage="1" showErrorMessage="1" xr:uid="{AF5A1BAF-DADA-4BEC-ACF9-8D662CAB2622}">
          <x14:formula1>
            <xm:f>Reference!$U$43:$U$44</xm:f>
          </x14:formula1>
          <xm:sqref>F25</xm:sqref>
        </x14:dataValidation>
        <x14:dataValidation type="list" allowBlank="1" showInputMessage="1" showErrorMessage="1" xr:uid="{43DB92B5-424B-4758-BFFE-98BAEEB908A7}">
          <x14:formula1>
            <xm:f>Reference!$AC$43:$AC$45</xm:f>
          </x14:formula1>
          <xm:sqref>F26</xm:sqref>
        </x14:dataValidation>
        <x14:dataValidation type="list" allowBlank="1" showInputMessage="1" showErrorMessage="1" xr:uid="{6CF7B8B4-3C9D-49C9-9482-C1A43BA092F0}">
          <x14:formula1>
            <xm:f>Reference!$C$49:$C$52</xm:f>
          </x14:formula1>
          <xm:sqref>F27 T29 T27</xm:sqref>
        </x14:dataValidation>
        <x14:dataValidation type="list" allowBlank="1" showInputMessage="1" showErrorMessage="1" xr:uid="{A95E7BAE-D45E-46A0-BF96-CD7DD84E4FD2}">
          <x14:formula1>
            <xm:f>Reference!$A$55:$A$57</xm:f>
          </x14:formula1>
          <xm:sqref>E29</xm:sqref>
        </x14:dataValidation>
        <x14:dataValidation type="list" allowBlank="1" showInputMessage="1" showErrorMessage="1" xr:uid="{CDA51224-DE03-4C25-931C-5FD3650223F6}">
          <x14:formula1>
            <xm:f>Reference!$C$62:$C$63</xm:f>
          </x14:formula1>
          <xm:sqref>L16:L32</xm:sqref>
        </x14:dataValidation>
        <x14:dataValidation type="list" allowBlank="1" showInputMessage="1" showErrorMessage="1" xr:uid="{9F43DD12-78E0-475F-BE30-D02783238F31}">
          <x14:formula1>
            <xm:f>Reference!$A$49:$A$52</xm:f>
          </x14:formula1>
          <xm:sqref>E27:E29</xm:sqref>
        </x14:dataValidation>
        <x14:dataValidation type="list" allowBlank="1" showInputMessage="1" showErrorMessage="1" xr:uid="{94016E09-3315-4899-AD34-577695A8DDED}">
          <x14:formula1>
            <xm:f>Reference!$C$49:$C$51</xm:f>
          </x14:formula1>
          <xm:sqref>F28</xm:sqref>
        </x14:dataValidation>
        <x14:dataValidation type="list" allowBlank="1" showInputMessage="1" showErrorMessage="1" xr:uid="{52E13835-BF7A-4D32-BC37-F3BA6285798B}">
          <x14:formula1>
            <xm:f>Reference!$G$36:$G$38</xm:f>
          </x14:formula1>
          <xm:sqref>F22 T22</xm:sqref>
        </x14:dataValidation>
        <x14:dataValidation type="list" allowBlank="1" showInputMessage="1" showErrorMessage="1" xr:uid="{8079D743-9A74-4121-925A-2ABCD16371E9}">
          <x14:formula1>
            <xm:f>Reference!$E$36:$E$38</xm:f>
          </x14:formula1>
          <xm:sqref>E22</xm:sqref>
        </x14:dataValidation>
        <x14:dataValidation type="list" allowBlank="1" showInputMessage="1" showErrorMessage="1" xr:uid="{711EDCF0-7150-49A5-A959-F3F12A691B43}">
          <x14:formula1>
            <xm:f>Reference!$A$36:$A$38</xm:f>
          </x14:formula1>
          <xm:sqref>E21</xm:sqref>
        </x14:dataValidation>
        <x14:dataValidation type="list" allowBlank="1" showInputMessage="1" showErrorMessage="1" xr:uid="{47D02228-4915-489A-9091-C657E4F3E141}">
          <x14:formula1>
            <xm:f>Reference!$W$26:$W$27</xm:f>
          </x14:formula1>
          <xm:sqref>E18 E20</xm:sqref>
        </x14:dataValidation>
        <x14:dataValidation type="list" allowBlank="1" showInputMessage="1" showErrorMessage="1" xr:uid="{0EC40E67-BB0F-4BB0-95A3-A1201A7F8BCF}">
          <x14:formula1>
            <xm:f>Reference!$A$81:$A$83</xm:f>
          </x14:formula1>
          <xm:sqref>F30:F32</xm:sqref>
        </x14:dataValidation>
        <x14:dataValidation type="list" allowBlank="1" showInputMessage="1" showErrorMessage="1" xr:uid="{EC0DF019-9105-47D5-9710-02226E4C1B76}">
          <x14:formula1>
            <xm:f>Reference!$C$17:$C$22</xm:f>
          </x14:formula1>
          <xm:sqref>F51:F54</xm:sqref>
        </x14:dataValidation>
        <x14:dataValidation type="list" allowBlank="1" showInputMessage="1" showErrorMessage="1" xr:uid="{195AA8B0-84C9-4B54-BAB1-F1563E78B580}">
          <x14:formula1>
            <xm:f>Reference!$C$16:$C$20</xm:f>
          </x14:formula1>
          <xm:sqref>F42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890D3-A652-4548-8E5F-9655BEF0F62E}">
  <sheetPr>
    <tabColor rgb="FF99CCFF"/>
  </sheetPr>
  <dimension ref="B1:AL43"/>
  <sheetViews>
    <sheetView showGridLines="0" showRowColHeaders="0" zoomScaleNormal="100" workbookViewId="0">
      <selection activeCell="D24" sqref="D24"/>
    </sheetView>
  </sheetViews>
  <sheetFormatPr defaultRowHeight="15" x14ac:dyDescent="0.25"/>
  <cols>
    <col min="1" max="1" width="2.28515625" customWidth="1"/>
    <col min="2" max="2" width="8.42578125" customWidth="1"/>
    <col min="3" max="3" width="2.5703125" customWidth="1"/>
    <col min="4" max="4" width="16.28515625" customWidth="1"/>
    <col min="5" max="5" width="2.5703125" customWidth="1"/>
    <col min="6" max="6" width="29.5703125" customWidth="1"/>
    <col min="7" max="7" width="2.5703125" customWidth="1"/>
    <col min="8" max="9" width="20.28515625" customWidth="1"/>
    <col min="10" max="10" width="17.140625" customWidth="1"/>
    <col min="11" max="11" width="14.28515625" customWidth="1"/>
    <col min="12" max="12" width="12.28515625" customWidth="1"/>
    <col min="13" max="13" width="11.42578125" customWidth="1"/>
    <col min="14" max="14" width="2.5703125" customWidth="1"/>
    <col min="15" max="16" width="11.42578125" customWidth="1"/>
    <col min="17" max="17" width="2.5703125" customWidth="1"/>
    <col min="18" max="18" width="11.42578125" customWidth="1"/>
    <col min="19" max="19" width="2.42578125" customWidth="1"/>
    <col min="20" max="21" width="20.28515625" hidden="1" customWidth="1"/>
    <col min="22" max="22" width="11.42578125" hidden="1" customWidth="1"/>
    <col min="23" max="23" width="2.42578125" customWidth="1"/>
    <col min="24" max="24" width="18.5703125" customWidth="1"/>
    <col min="25" max="25" width="59.140625" customWidth="1"/>
    <col min="27" max="27" width="17.140625" customWidth="1"/>
    <col min="28" max="28" width="11" customWidth="1"/>
    <col min="29" max="29" width="17.140625" customWidth="1"/>
    <col min="30" max="30" width="14.28515625" customWidth="1"/>
    <col min="31" max="31" width="12.28515625" customWidth="1"/>
    <col min="32" max="32" width="11.42578125" customWidth="1"/>
    <col min="33" max="33" width="2.5703125" customWidth="1"/>
    <col min="34" max="35" width="11.42578125" customWidth="1"/>
    <col min="36" max="36" width="2.5703125" customWidth="1"/>
    <col min="37" max="38" width="11.42578125" customWidth="1"/>
  </cols>
  <sheetData>
    <row r="1" spans="2:27" x14ac:dyDescent="0.25">
      <c r="H1" s="3"/>
      <c r="I1" s="3"/>
      <c r="J1" s="3"/>
      <c r="K1" s="3"/>
      <c r="L1" s="4"/>
      <c r="M1" s="4"/>
      <c r="O1" s="3"/>
      <c r="P1" s="4"/>
      <c r="Q1" s="3"/>
      <c r="R1" s="3"/>
      <c r="S1" s="3"/>
      <c r="T1" s="3"/>
      <c r="U1" s="3"/>
      <c r="V1" s="3"/>
      <c r="W1" s="3"/>
      <c r="X1" s="3"/>
      <c r="Z1" s="23"/>
    </row>
    <row r="2" spans="2:27" ht="32.25" thickBot="1" x14ac:dyDescent="0.55000000000000004">
      <c r="B2" s="205" t="s">
        <v>118</v>
      </c>
      <c r="H2" s="3"/>
      <c r="I2" s="3"/>
      <c r="J2" s="3"/>
      <c r="K2" s="3"/>
      <c r="L2" s="203" t="s">
        <v>3</v>
      </c>
      <c r="M2" s="5"/>
      <c r="N2" s="5"/>
      <c r="O2" s="3"/>
      <c r="P2" s="4"/>
      <c r="Q2" s="3"/>
      <c r="AA2" s="45"/>
    </row>
    <row r="3" spans="2:27" ht="6.75" customHeight="1" x14ac:dyDescent="0.3">
      <c r="B3" s="212"/>
      <c r="H3" s="3"/>
      <c r="I3" s="3"/>
      <c r="J3" s="3"/>
      <c r="K3" s="3"/>
      <c r="O3" s="3"/>
      <c r="P3" s="4"/>
      <c r="Q3" s="3"/>
    </row>
    <row r="4" spans="2:27" ht="15.75" x14ac:dyDescent="0.3">
      <c r="B4" s="212"/>
      <c r="H4" s="3"/>
      <c r="I4" s="3"/>
      <c r="J4" s="3"/>
      <c r="K4" s="3"/>
      <c r="L4" s="151"/>
      <c r="N4" t="s">
        <v>4</v>
      </c>
      <c r="O4" s="3"/>
      <c r="P4" s="4"/>
      <c r="Q4" s="3"/>
    </row>
    <row r="5" spans="2:27" ht="15.75" x14ac:dyDescent="0.3">
      <c r="B5" s="212"/>
      <c r="H5" s="3"/>
      <c r="I5" s="3"/>
      <c r="J5" s="3"/>
      <c r="K5" s="3"/>
      <c r="L5" s="152"/>
      <c r="N5" t="s">
        <v>5</v>
      </c>
      <c r="O5" s="3"/>
      <c r="P5" s="4"/>
      <c r="Q5" s="3"/>
    </row>
    <row r="6" spans="2:27" ht="15.75" x14ac:dyDescent="0.3">
      <c r="B6" s="212"/>
      <c r="H6" s="3"/>
      <c r="I6" s="3"/>
      <c r="J6" s="3"/>
      <c r="K6" s="3"/>
      <c r="L6" s="13"/>
      <c r="N6" t="s">
        <v>6</v>
      </c>
      <c r="O6" s="3"/>
      <c r="P6" s="4"/>
      <c r="Q6" s="3"/>
    </row>
    <row r="7" spans="2:27" ht="15.75" x14ac:dyDescent="0.3">
      <c r="B7" s="212"/>
      <c r="H7" s="3"/>
      <c r="I7" s="3"/>
      <c r="J7" s="3"/>
      <c r="K7" s="3"/>
      <c r="L7" s="15"/>
      <c r="N7" t="s">
        <v>7</v>
      </c>
      <c r="O7" s="3"/>
      <c r="P7" s="4"/>
      <c r="Q7" s="3"/>
    </row>
    <row r="8" spans="2:27" ht="6.75" customHeight="1" x14ac:dyDescent="0.3">
      <c r="B8" s="212"/>
      <c r="H8" s="3"/>
      <c r="I8" s="3"/>
      <c r="J8" s="3"/>
      <c r="K8" s="3"/>
      <c r="O8" s="3"/>
      <c r="P8" s="4"/>
      <c r="Q8" s="3"/>
    </row>
    <row r="9" spans="2:27" ht="15.75" x14ac:dyDescent="0.3">
      <c r="B9" s="212"/>
      <c r="H9" s="3"/>
      <c r="I9" s="3"/>
      <c r="J9" s="3"/>
      <c r="K9" s="3"/>
      <c r="L9" s="37" t="s">
        <v>8</v>
      </c>
      <c r="N9" s="28" t="s">
        <v>9</v>
      </c>
      <c r="O9" s="3"/>
      <c r="P9" s="4"/>
      <c r="Q9" s="3"/>
    </row>
    <row r="10" spans="2:27" ht="7.5" customHeight="1" x14ac:dyDescent="0.5">
      <c r="B10" s="45"/>
      <c r="H10" s="3"/>
      <c r="I10" s="3"/>
      <c r="J10" s="3"/>
      <c r="K10" s="3"/>
      <c r="L10" s="4"/>
      <c r="M10" s="4"/>
      <c r="O10" s="3"/>
      <c r="P10" s="4"/>
      <c r="Q10" s="3"/>
      <c r="AA10" s="45"/>
    </row>
    <row r="11" spans="2:27" ht="15" customHeight="1" x14ac:dyDescent="0.5">
      <c r="B11" s="45"/>
      <c r="H11" s="3"/>
      <c r="I11" s="3"/>
      <c r="J11" s="3"/>
      <c r="K11" s="3"/>
      <c r="L11" s="4"/>
      <c r="M11" s="4"/>
      <c r="O11" s="3"/>
      <c r="P11" s="4"/>
      <c r="Q11" s="3"/>
      <c r="AA11" s="45"/>
    </row>
    <row r="12" spans="2:27" ht="15" customHeight="1" x14ac:dyDescent="0.5">
      <c r="B12" s="45"/>
      <c r="H12" s="3"/>
      <c r="I12" s="3"/>
      <c r="J12" s="3"/>
      <c r="K12" s="3"/>
      <c r="L12" s="4"/>
      <c r="M12" s="4"/>
      <c r="O12" s="3"/>
      <c r="P12" s="4"/>
      <c r="Q12" s="3"/>
      <c r="AA12" s="45"/>
    </row>
    <row r="13" spans="2:27" ht="15" customHeight="1" x14ac:dyDescent="0.5">
      <c r="B13" s="45"/>
      <c r="H13" s="3"/>
      <c r="I13" s="3"/>
      <c r="J13" s="3"/>
      <c r="K13" s="3"/>
      <c r="L13" s="4"/>
      <c r="M13" s="4"/>
      <c r="O13" s="3"/>
      <c r="P13" s="4"/>
      <c r="Q13" s="3"/>
      <c r="AA13" s="45"/>
    </row>
    <row r="14" spans="2:27" ht="15" customHeight="1" x14ac:dyDescent="0.5">
      <c r="B14" s="45"/>
      <c r="H14" s="3"/>
      <c r="I14" s="3"/>
      <c r="J14" s="3"/>
      <c r="K14" s="3"/>
      <c r="L14" s="4"/>
      <c r="M14" s="4"/>
      <c r="O14" s="3"/>
      <c r="P14" s="4"/>
      <c r="Q14" s="3"/>
      <c r="AA14" s="45"/>
    </row>
    <row r="15" spans="2:27" ht="15" customHeight="1" x14ac:dyDescent="0.5">
      <c r="B15" s="45"/>
      <c r="H15" s="3"/>
      <c r="I15" s="3"/>
      <c r="J15" s="3"/>
      <c r="K15" s="3"/>
      <c r="L15" s="4"/>
      <c r="M15" s="4"/>
      <c r="O15" s="3"/>
      <c r="P15" s="4"/>
      <c r="Q15" s="3"/>
      <c r="AA15" s="45"/>
    </row>
    <row r="16" spans="2:27" ht="15" customHeight="1" x14ac:dyDescent="0.5">
      <c r="B16" s="45"/>
      <c r="H16" s="3"/>
      <c r="I16" s="3"/>
      <c r="J16" s="3"/>
      <c r="K16" s="3"/>
      <c r="L16" s="4"/>
      <c r="M16" s="4"/>
      <c r="O16" s="3"/>
      <c r="P16" s="4"/>
      <c r="Q16" s="3"/>
      <c r="AA16" s="45"/>
    </row>
    <row r="17" spans="2:38" ht="15" customHeight="1" x14ac:dyDescent="0.5">
      <c r="B17" s="45"/>
      <c r="H17" s="3"/>
      <c r="I17" s="3"/>
      <c r="J17" s="3"/>
      <c r="K17" s="3"/>
      <c r="L17" s="4"/>
      <c r="M17" s="4"/>
      <c r="O17" s="3"/>
      <c r="P17" s="4"/>
      <c r="Q17" s="3"/>
      <c r="AA17" s="45"/>
    </row>
    <row r="18" spans="2:38" ht="15" customHeight="1" x14ac:dyDescent="0.5">
      <c r="B18" s="45"/>
      <c r="H18" s="3"/>
      <c r="I18" s="3"/>
      <c r="J18" s="3"/>
      <c r="K18" s="3"/>
      <c r="L18" s="4"/>
      <c r="M18" s="4"/>
      <c r="O18" s="3"/>
      <c r="P18" s="4"/>
      <c r="Q18" s="3"/>
      <c r="AA18" s="45"/>
    </row>
    <row r="19" spans="2:38" ht="17.25" x14ac:dyDescent="0.3">
      <c r="B19" s="207" t="s">
        <v>119</v>
      </c>
      <c r="H19" s="3"/>
      <c r="I19" s="3"/>
      <c r="J19" s="3"/>
      <c r="K19" s="3"/>
      <c r="L19" s="4"/>
      <c r="M19" s="4"/>
      <c r="O19" s="3"/>
      <c r="P19" s="4"/>
      <c r="Q19" s="3"/>
    </row>
    <row r="20" spans="2:38" ht="17.25" x14ac:dyDescent="0.3">
      <c r="B20" s="207" t="s">
        <v>120</v>
      </c>
      <c r="H20" s="3"/>
      <c r="I20" s="3"/>
      <c r="J20" s="3"/>
      <c r="K20" s="3"/>
      <c r="L20" s="4"/>
      <c r="M20" s="4"/>
      <c r="O20" s="3"/>
      <c r="P20" s="4"/>
      <c r="Q20" s="3"/>
    </row>
    <row r="21" spans="2:38" x14ac:dyDescent="0.25">
      <c r="F21" s="6"/>
      <c r="H21" s="3"/>
      <c r="I21" s="3"/>
      <c r="J21" s="3"/>
      <c r="K21" s="3"/>
      <c r="L21" s="4"/>
      <c r="M21" s="4"/>
      <c r="O21" s="3"/>
      <c r="P21" s="4"/>
      <c r="Q21" s="3"/>
      <c r="T21" s="27" t="s">
        <v>121</v>
      </c>
    </row>
    <row r="22" spans="2:38" x14ac:dyDescent="0.25">
      <c r="H22" s="3"/>
      <c r="I22" s="3"/>
      <c r="J22" s="3"/>
      <c r="K22" s="235" t="s">
        <v>122</v>
      </c>
      <c r="L22" s="235"/>
      <c r="M22" s="235"/>
      <c r="N22" s="235"/>
      <c r="O22" s="235"/>
      <c r="P22" s="235"/>
      <c r="Q22" s="235"/>
      <c r="R22" s="235"/>
      <c r="S22" s="3"/>
      <c r="T22" s="235" t="s">
        <v>123</v>
      </c>
      <c r="U22" s="235"/>
      <c r="V22" s="235"/>
      <c r="W22" s="3"/>
      <c r="X22" s="3"/>
      <c r="Z22" s="23"/>
      <c r="AK22" s="231"/>
      <c r="AL22" s="231"/>
    </row>
    <row r="23" spans="2:38" ht="45" x14ac:dyDescent="0.25">
      <c r="B23" s="4" t="s">
        <v>108</v>
      </c>
      <c r="C23" s="4"/>
      <c r="D23" s="4" t="s">
        <v>124</v>
      </c>
      <c r="E23" s="4"/>
      <c r="F23" t="s">
        <v>47</v>
      </c>
      <c r="H23" s="3" t="s">
        <v>48</v>
      </c>
      <c r="I23" s="4" t="s">
        <v>49</v>
      </c>
      <c r="J23" s="4" t="s">
        <v>50</v>
      </c>
      <c r="K23" s="43" t="s">
        <v>51</v>
      </c>
      <c r="L23" s="43" t="s">
        <v>52</v>
      </c>
      <c r="M23" s="43" t="s">
        <v>53</v>
      </c>
      <c r="O23" s="43" t="s">
        <v>125</v>
      </c>
      <c r="P23" s="43" t="s">
        <v>126</v>
      </c>
      <c r="Q23" s="3"/>
      <c r="R23" s="43" t="s">
        <v>56</v>
      </c>
      <c r="S23" s="4"/>
      <c r="T23" s="43" t="s">
        <v>48</v>
      </c>
      <c r="U23" s="43" t="s">
        <v>127</v>
      </c>
      <c r="V23" s="43" t="s">
        <v>56</v>
      </c>
      <c r="W23" s="4"/>
      <c r="X23" s="4"/>
      <c r="Z23" s="47"/>
      <c r="AA23" s="3"/>
      <c r="AB23" s="4"/>
      <c r="AC23" s="3"/>
      <c r="AD23" s="4"/>
      <c r="AE23" s="4"/>
      <c r="AF23" s="4"/>
      <c r="AH23" s="4"/>
      <c r="AI23" s="4"/>
      <c r="AJ23" s="3"/>
      <c r="AK23" s="4"/>
      <c r="AL23" s="4"/>
    </row>
    <row r="24" spans="2:38" x14ac:dyDescent="0.25">
      <c r="B24" s="14" t="str">
        <f>'Existing Systems and Loads'!B16</f>
        <v>Y</v>
      </c>
      <c r="C24" s="3"/>
      <c r="D24" s="218" t="s">
        <v>57</v>
      </c>
      <c r="E24" s="3"/>
      <c r="F24" t="s">
        <v>58</v>
      </c>
      <c r="H24" s="218" t="s">
        <v>59</v>
      </c>
      <c r="I24" s="218" t="s">
        <v>128</v>
      </c>
      <c r="J24" s="59">
        <f>IF(D24="Y",Reference!E26,"")</f>
        <v>2.5</v>
      </c>
      <c r="K24" s="62">
        <f>IF(D24="Y",240, "")</f>
        <v>240</v>
      </c>
      <c r="L24" s="63">
        <f>IF(D24="Y",IF(I24="Electric Resistance",Reference!I26,Reference!AC88),"")</f>
        <v>4800</v>
      </c>
      <c r="M24" s="220" t="s">
        <v>57</v>
      </c>
      <c r="O24" s="218"/>
      <c r="P24" s="218"/>
      <c r="Q24" s="22"/>
      <c r="R24" s="60">
        <f>IF(D24="N", "",IF(M24="Y",L24,P24*O24))</f>
        <v>4800</v>
      </c>
      <c r="S24" s="61"/>
      <c r="T24" s="60" t="str">
        <f>IF(AND(B24="Y",D24="N"),'Existing Systems and Loads'!E16,IF(D24="Y",H24,""))</f>
        <v>Central forced air</v>
      </c>
      <c r="U24" s="60" t="str">
        <f>IF(AND(B24="Y",D24="N"),'Existing Systems and Loads'!F16,IF(D24="Y",I24,""))</f>
        <v>Electric - Heat Pump</v>
      </c>
      <c r="V24" s="60">
        <f>IF(AND(B24="Y",D24="N"),'Existing Systems and Loads'!O16,IF(D24="Y",R24,""))</f>
        <v>4800</v>
      </c>
      <c r="W24" s="61"/>
      <c r="X24" s="61"/>
      <c r="Y24" s="27"/>
      <c r="Z24" s="3"/>
      <c r="AA24" s="3"/>
      <c r="AB24" s="3"/>
      <c r="AC24" s="3"/>
      <c r="AD24" s="3"/>
      <c r="AE24" s="3"/>
      <c r="AF24" s="3"/>
    </row>
    <row r="25" spans="2:38" x14ac:dyDescent="0.25">
      <c r="B25" s="14" t="str">
        <f>'Existing Systems and Loads'!B17</f>
        <v>Y</v>
      </c>
      <c r="C25" s="3"/>
      <c r="D25" s="218" t="s">
        <v>57</v>
      </c>
      <c r="E25" s="3"/>
      <c r="F25" t="str">
        <f>IF(U24="Electric - Heat Pump","Cooling, Upgraded with Heating","Space Cooling")</f>
        <v>Cooling, Upgraded with Heating</v>
      </c>
      <c r="H25" s="218" t="s">
        <v>59</v>
      </c>
      <c r="I25" s="219" t="s">
        <v>63</v>
      </c>
      <c r="J25" s="59" t="str">
        <f>IF(U24="Electric - Heat Pump","",IF(D25="Y",Reference!W92,""))</f>
        <v/>
      </c>
      <c r="K25" s="62" t="str">
        <f>IF(U24="Electric - Heat Pump","",IF(D25="Y",240, ""))</f>
        <v/>
      </c>
      <c r="L25" s="63" t="str">
        <f>IF(U24="Electric - Heat Pump","",IF(D25="Y",Reference!AE92,""))</f>
        <v/>
      </c>
      <c r="M25" s="218" t="s">
        <v>57</v>
      </c>
      <c r="O25" s="218"/>
      <c r="P25" s="218"/>
      <c r="Q25" s="22"/>
      <c r="R25" s="60" t="str">
        <f>IF(D25="N", "",IF(M25="Y",L25,P25*O25))</f>
        <v/>
      </c>
      <c r="S25" s="3"/>
      <c r="T25" s="60" t="str">
        <f>IF(U24="Electric - Heat Pump","",IF(AND(B25="Y",D25="N"),'Existing Systems and Loads'!E17,IF(D25="Y",H25,"")))</f>
        <v/>
      </c>
      <c r="U25" s="60" t="str">
        <f>IF(U24="Electric - Heat Pump","",IF(AND(B25="Y",D25="N"),'Existing Systems and Loads'!F17,IF(D25="Y",I25,"")))</f>
        <v/>
      </c>
      <c r="V25" s="60" t="str">
        <f>IF(U24="Electric - Heat Pump","",IF(AND(B25="Y",D25="N"),'Existing Systems and Loads'!O17,IF(D25="Y",R25,"")))</f>
        <v/>
      </c>
      <c r="W25" s="3"/>
      <c r="X25" s="61"/>
      <c r="Y25" s="27"/>
      <c r="Z25" s="3"/>
      <c r="AA25" s="3"/>
      <c r="AB25" s="3"/>
      <c r="AC25" s="3"/>
      <c r="AD25" s="3"/>
      <c r="AE25" s="3"/>
      <c r="AF25" s="3"/>
    </row>
    <row r="26" spans="2:38" x14ac:dyDescent="0.25">
      <c r="B26" s="14" t="str">
        <f>'Existing Systems and Loads'!B18</f>
        <v>Y</v>
      </c>
      <c r="C26" s="3"/>
      <c r="D26" s="218" t="s">
        <v>57</v>
      </c>
      <c r="E26" s="3"/>
      <c r="F26" t="s">
        <v>65</v>
      </c>
      <c r="H26" s="218" t="s">
        <v>66</v>
      </c>
      <c r="I26" s="219" t="s">
        <v>63</v>
      </c>
      <c r="J26" s="66">
        <f>IF(D26="Y",IF(H26="Air Handler",Reference2!W7,3),"")</f>
        <v>500</v>
      </c>
      <c r="K26" s="62">
        <f>IF(D26="Y",IF(H26="None","",240), "")</f>
        <v>240</v>
      </c>
      <c r="L26" s="63">
        <f>IF(D26="Y",$J$26,"")</f>
        <v>500</v>
      </c>
      <c r="M26" s="220" t="s">
        <v>57</v>
      </c>
      <c r="O26" s="218"/>
      <c r="P26" s="218"/>
      <c r="Q26" s="22"/>
      <c r="R26" s="60">
        <f>IF(D26="N", "",IF(M26="Y",L26,P26*O26))</f>
        <v>500</v>
      </c>
      <c r="S26" s="3"/>
      <c r="T26" s="60" t="str">
        <f>IF(AND(B26="Y",D26="N"),'Existing Systems and Loads'!E18,IF(D26="Y",H26,""))</f>
        <v>Air Handler</v>
      </c>
      <c r="U26" s="60" t="str">
        <f>IF(AND(B26="Y",D26="N"),'Existing Systems and Loads'!F18,IF(D26="Y",I26,""))</f>
        <v>Electric</v>
      </c>
      <c r="V26" s="60">
        <f>IF(AND(B26="Y",D26="N"),'Existing Systems and Loads'!O18,IF(D26="Y",R26,""))</f>
        <v>500</v>
      </c>
      <c r="W26" s="3"/>
      <c r="X26" s="61"/>
      <c r="Y26" s="27"/>
      <c r="Z26" s="3"/>
      <c r="AA26" s="3"/>
      <c r="AB26" s="3"/>
      <c r="AC26" s="3"/>
      <c r="AD26" s="3"/>
      <c r="AE26" s="3"/>
      <c r="AF26" s="3"/>
    </row>
    <row r="27" spans="2:38" x14ac:dyDescent="0.25">
      <c r="B27" s="14" t="str">
        <f>'Existing Systems and Loads'!B19</f>
        <v>N</v>
      </c>
      <c r="C27" s="3"/>
      <c r="D27" s="218" t="s">
        <v>68</v>
      </c>
      <c r="E27" s="3"/>
      <c r="F27" t="str">
        <f>IF(LEFT(U24,2)="NG","Reserved for HP Backup-Electric Heat", "Backup Strip Heat")</f>
        <v>Backup Strip Heat</v>
      </c>
      <c r="H27" s="218" t="s">
        <v>69</v>
      </c>
      <c r="I27" s="219" t="s">
        <v>63</v>
      </c>
      <c r="J27" s="66" t="str">
        <f>IF(D27="Y",IF(H27="None","",IF(LEFT(U24,2)="NG","",Reference2!AA7)),"")</f>
        <v/>
      </c>
      <c r="K27" s="62" t="str">
        <f>IF(D27="Y",IF(H27="None","",IF(LEFT(U24,2)="NG","",240)),"")</f>
        <v/>
      </c>
      <c r="L27" s="63" t="str">
        <f>IF(D27="Y",IF(H27="None","",IF(LEFT(U24,2)="NG","",Reference2!AA7)),"")</f>
        <v/>
      </c>
      <c r="M27" s="220" t="s">
        <v>57</v>
      </c>
      <c r="O27" s="218"/>
      <c r="P27" s="218"/>
      <c r="Q27" s="22"/>
      <c r="R27" s="60" t="str">
        <f>IF(D27="N", "",IF(M27="Y",L27,P27*O27))</f>
        <v/>
      </c>
      <c r="S27" s="3"/>
      <c r="T27" s="60" t="str">
        <f>IF(AND(B27="Y",D27="N"),'Existing Systems and Loads'!E19,IF(D27="Y",IF(LEFT(U24,2)="NG","",H27),""))</f>
        <v/>
      </c>
      <c r="U27" s="60" t="str">
        <f>IF(AND(B27="Y",D27="N"),'Existing Systems and Loads'!F19,IF(D27="Y",IF(LEFT(U24,2)="NG","",I27),""))</f>
        <v/>
      </c>
      <c r="V27" s="60" t="str">
        <f>IF(AND(B27="Y",D27="N"),'Existing Systems and Loads'!O19,IF(D27="Y",IF(LEFT(U24,2)="NG","",R27),""))</f>
        <v/>
      </c>
      <c r="W27" s="3"/>
      <c r="X27" s="61"/>
      <c r="Y27" s="27"/>
      <c r="Z27" s="3"/>
      <c r="AA27" s="3"/>
      <c r="AB27" s="3"/>
      <c r="AC27" s="3"/>
      <c r="AD27" s="3"/>
      <c r="AE27" s="3"/>
      <c r="AF27" s="3"/>
    </row>
    <row r="28" spans="2:38" ht="6" customHeight="1" x14ac:dyDescent="0.25">
      <c r="B28" s="26"/>
      <c r="C28" s="3"/>
      <c r="D28" s="26"/>
      <c r="E28" s="3"/>
      <c r="H28" s="26"/>
      <c r="I28" s="26"/>
      <c r="J28" s="76"/>
      <c r="K28" s="77"/>
      <c r="L28" s="78"/>
      <c r="M28" s="26"/>
      <c r="O28" s="26"/>
      <c r="P28" s="26"/>
      <c r="R28" s="79"/>
      <c r="S28" s="3"/>
      <c r="T28" s="79"/>
      <c r="U28" s="79"/>
      <c r="V28" s="79"/>
      <c r="W28" s="3"/>
      <c r="X28" s="61"/>
      <c r="Y28" s="27"/>
      <c r="Z28" s="3"/>
      <c r="AA28" s="3"/>
      <c r="AB28" s="3"/>
      <c r="AC28" s="3"/>
      <c r="AD28" s="3"/>
      <c r="AE28" s="3"/>
      <c r="AF28" s="3"/>
    </row>
    <row r="29" spans="2:38" x14ac:dyDescent="0.25">
      <c r="B29" s="17" t="str">
        <f>'Existing Systems and Loads'!B21</f>
        <v>Y</v>
      </c>
      <c r="C29" s="3"/>
      <c r="D29" s="218" t="s">
        <v>68</v>
      </c>
      <c r="E29" s="3"/>
      <c r="F29" t="s">
        <v>71</v>
      </c>
      <c r="H29" s="218" t="s">
        <v>72</v>
      </c>
      <c r="I29" s="219" t="s">
        <v>63</v>
      </c>
      <c r="J29" s="66" t="str">
        <f>IF(D29="Y",Reference2!C17,"")</f>
        <v/>
      </c>
      <c r="K29" s="62" t="str">
        <f>IF(D29="Y",120, "")</f>
        <v/>
      </c>
      <c r="L29" s="63" t="str">
        <f>IF(D29="Y",J29,"")</f>
        <v/>
      </c>
      <c r="M29" s="220" t="s">
        <v>57</v>
      </c>
      <c r="O29" s="218"/>
      <c r="P29" s="218"/>
      <c r="Q29" s="22"/>
      <c r="R29" s="60" t="str">
        <f t="shared" ref="R29" si="0">IF(D29="N", "",IF(M29="Y",L29,P29*O29))</f>
        <v/>
      </c>
      <c r="S29" s="3"/>
      <c r="T29" s="60" t="str">
        <f>IF(AND(B29="Y",D29="N"),'Existing Systems and Loads'!E21,IF(D29="Y",H29,""))</f>
        <v>Side by Side Full size</v>
      </c>
      <c r="U29" s="60" t="str">
        <f>IF(AND(B29="Y",D29="N"),'Existing Systems and Loads'!F21,IF(D29="Y",I29,""))</f>
        <v>Electric</v>
      </c>
      <c r="V29" s="60">
        <f>IF(AND(B29="Y",D29="N"),'Existing Systems and Loads'!O21,IF(D29="Y",R29,""))</f>
        <v>480</v>
      </c>
      <c r="W29" s="3"/>
      <c r="X29" s="61"/>
      <c r="Y29" s="27"/>
      <c r="Z29" s="3"/>
      <c r="AA29" s="3"/>
      <c r="AB29" s="3"/>
      <c r="AC29" s="3"/>
      <c r="AD29" s="3"/>
      <c r="AE29" s="3"/>
      <c r="AF29" s="3"/>
    </row>
    <row r="30" spans="2:38" x14ac:dyDescent="0.25">
      <c r="B30" s="17" t="str">
        <f>'Existing Systems and Loads'!B22</f>
        <v>Y</v>
      </c>
      <c r="C30" s="3"/>
      <c r="D30" s="218" t="s">
        <v>57</v>
      </c>
      <c r="E30" s="3"/>
      <c r="F30" t="s">
        <v>73</v>
      </c>
      <c r="H30" s="218" t="s">
        <v>72</v>
      </c>
      <c r="I30" s="218" t="s">
        <v>128</v>
      </c>
      <c r="J30" s="66">
        <f>IF(D30="Y",IF(I30="Electric Resistance",Reference2!$K$17,Reference2!$M$17),"")</f>
        <v>4000</v>
      </c>
      <c r="K30" s="62">
        <f t="shared" ref="K30:K37" si="1">IF(D30="Y",240, "")</f>
        <v>240</v>
      </c>
      <c r="L30" s="63">
        <f>IF(D30="Y",J30,"")</f>
        <v>4000</v>
      </c>
      <c r="M30" s="220" t="s">
        <v>57</v>
      </c>
      <c r="O30" s="218"/>
      <c r="P30" s="218"/>
      <c r="Q30" s="22"/>
      <c r="R30" s="60">
        <f t="shared" ref="R30:R36" si="2">IF(D30="N", "",IF(M30="Y",L30,P30*O30))</f>
        <v>4000</v>
      </c>
      <c r="S30" s="3"/>
      <c r="T30" s="60" t="str">
        <f>IF(AND(B30="Y",D30="N"),'Existing Systems and Loads'!E22,IF(D30="Y",H30,""))</f>
        <v>Side by Side Full size</v>
      </c>
      <c r="U30" s="60" t="str">
        <f>IF(AND(B30="Y",D30="N"),'Existing Systems and Loads'!F22,IF(D30="Y",I30,""))</f>
        <v>Electric - Heat Pump</v>
      </c>
      <c r="V30" s="60">
        <f>IF(AND(B30="Y",D30="N"),'Existing Systems and Loads'!O22,IF(D30="Y",R30,""))</f>
        <v>4000</v>
      </c>
      <c r="W30" s="3"/>
      <c r="X30" s="61"/>
      <c r="Y30" s="27"/>
      <c r="Z30" s="3"/>
      <c r="AA30" s="3"/>
      <c r="AB30" s="3"/>
      <c r="AC30" s="3"/>
      <c r="AD30" s="3"/>
      <c r="AE30" s="3"/>
      <c r="AF30" s="3"/>
    </row>
    <row r="31" spans="2:38" x14ac:dyDescent="0.25">
      <c r="B31" s="17" t="str">
        <f>'Existing Systems and Loads'!B23</f>
        <v>Y</v>
      </c>
      <c r="C31" s="3"/>
      <c r="D31" s="218" t="s">
        <v>57</v>
      </c>
      <c r="E31" s="3"/>
      <c r="F31" t="s">
        <v>76</v>
      </c>
      <c r="H31" s="218" t="s">
        <v>77</v>
      </c>
      <c r="I31" s="218" t="s">
        <v>129</v>
      </c>
      <c r="J31" s="66">
        <f>IF(D31="Y",IF(I31="Electric Resistance",Reference2!$E$24,Reference2!$G$24),"")</f>
        <v>4800</v>
      </c>
      <c r="K31" s="62">
        <f t="shared" si="1"/>
        <v>240</v>
      </c>
      <c r="L31" s="63">
        <f t="shared" ref="L31:L37" si="3">IF(D31="Y",J31,"")</f>
        <v>4800</v>
      </c>
      <c r="M31" s="220" t="s">
        <v>57</v>
      </c>
      <c r="O31" s="218"/>
      <c r="P31" s="218"/>
      <c r="Q31" s="22"/>
      <c r="R31" s="60">
        <f t="shared" si="2"/>
        <v>4800</v>
      </c>
      <c r="S31" s="3"/>
      <c r="T31" s="60" t="str">
        <f>IF(AND(B31="Y",D31="N"),'Existing Systems and Loads'!E23,IF(D31="Y",H31,""))</f>
        <v>30" CT/Oven</v>
      </c>
      <c r="U31" s="60" t="str">
        <f>IF(AND(B31="Y",D31="N"),'Existing Systems and Loads'!F23,IF(D31="Y",I31,""))</f>
        <v>Electric - Induction</v>
      </c>
      <c r="V31" s="60">
        <f>IF(AND(B31="Y",D31="N"),'Existing Systems and Loads'!O23,IF(D31="Y",R31,""))</f>
        <v>4800</v>
      </c>
      <c r="W31" s="3"/>
      <c r="X31" s="61"/>
      <c r="Y31" s="27"/>
      <c r="Z31" s="3"/>
      <c r="AA31" s="3"/>
      <c r="AB31" s="3"/>
      <c r="AC31" s="3"/>
      <c r="AD31" s="3"/>
      <c r="AE31" s="3"/>
      <c r="AF31" s="3"/>
    </row>
    <row r="32" spans="2:38" x14ac:dyDescent="0.25">
      <c r="B32" s="17" t="str">
        <f>'Existing Systems and Loads'!B24</f>
        <v>N</v>
      </c>
      <c r="C32" s="3"/>
      <c r="D32" s="218" t="s">
        <v>68</v>
      </c>
      <c r="E32" s="3"/>
      <c r="F32" s="10" t="s">
        <v>79</v>
      </c>
      <c r="H32" s="218"/>
      <c r="I32" s="218"/>
      <c r="J32" s="66" t="str">
        <f>IF(D32="Y",Reference2!M24,"")</f>
        <v/>
      </c>
      <c r="K32" s="62" t="str">
        <f t="shared" si="1"/>
        <v/>
      </c>
      <c r="L32" s="63" t="str">
        <f t="shared" si="3"/>
        <v/>
      </c>
      <c r="M32" s="220" t="s">
        <v>57</v>
      </c>
      <c r="O32" s="218"/>
      <c r="P32" s="218"/>
      <c r="Q32" s="22"/>
      <c r="R32" s="60" t="str">
        <f t="shared" si="2"/>
        <v/>
      </c>
      <c r="S32" s="3"/>
      <c r="T32" s="60" t="str">
        <f>IF(AND(B32="Y",D32="N"),'Existing Systems and Loads'!E24,IF(D32="Y",H32,""))</f>
        <v/>
      </c>
      <c r="U32" s="60" t="str">
        <f>IF(AND(B32="Y",D32="N"),'Existing Systems and Loads'!F24,IF(D32="Y",I32,""))</f>
        <v/>
      </c>
      <c r="V32" s="60" t="str">
        <f>IF(AND(B32="Y",D32="N"),'Existing Systems and Loads'!O24,IF(D32="Y",R32,""))</f>
        <v/>
      </c>
      <c r="W32" s="3"/>
      <c r="X32" s="61"/>
      <c r="Y32" s="27"/>
      <c r="Z32" s="3"/>
      <c r="AA32" s="3"/>
      <c r="AB32" s="3"/>
      <c r="AC32" s="3"/>
      <c r="AD32" s="3"/>
      <c r="AE32" s="3"/>
      <c r="AF32" s="3"/>
    </row>
    <row r="33" spans="2:32" x14ac:dyDescent="0.25">
      <c r="B33" s="17" t="str">
        <f>'Existing Systems and Loads'!B25</f>
        <v>N</v>
      </c>
      <c r="C33" s="3"/>
      <c r="D33" s="218" t="s">
        <v>68</v>
      </c>
      <c r="E33" s="3"/>
      <c r="F33" s="10" t="s">
        <v>81</v>
      </c>
      <c r="H33" s="218"/>
      <c r="I33" s="218"/>
      <c r="J33" s="66" t="str">
        <f>IF(D33="Y",Reference2!S24,"")</f>
        <v/>
      </c>
      <c r="K33" s="62" t="str">
        <f t="shared" si="1"/>
        <v/>
      </c>
      <c r="L33" s="63" t="str">
        <f t="shared" si="3"/>
        <v/>
      </c>
      <c r="M33" s="220" t="s">
        <v>57</v>
      </c>
      <c r="O33" s="218"/>
      <c r="P33" s="218"/>
      <c r="Q33" s="22"/>
      <c r="R33" s="60" t="str">
        <f t="shared" si="2"/>
        <v/>
      </c>
      <c r="S33" s="3"/>
      <c r="T33" s="60" t="str">
        <f>IF(AND(B33="Y",D33="N"),'Existing Systems and Loads'!E25,IF(D33="Y",H33,""))</f>
        <v/>
      </c>
      <c r="U33" s="60" t="str">
        <f>IF(AND(B33="Y",D33="N"),'Existing Systems and Loads'!F25,IF(D33="Y",I33,""))</f>
        <v/>
      </c>
      <c r="V33" s="60" t="str">
        <f>IF(AND(B33="Y",D33="N"),'Existing Systems and Loads'!O25,IF(D33="Y",R33,""))</f>
        <v/>
      </c>
      <c r="W33" s="3"/>
      <c r="X33" s="61"/>
      <c r="Y33" s="27"/>
      <c r="Z33" s="3"/>
      <c r="AA33" s="3"/>
      <c r="AB33" s="3"/>
      <c r="AC33" s="3"/>
      <c r="AD33" s="3"/>
      <c r="AE33" s="3"/>
      <c r="AF33" s="3"/>
    </row>
    <row r="34" spans="2:32" x14ac:dyDescent="0.25">
      <c r="B34" s="17" t="str">
        <f>'Existing Systems and Loads'!B26</f>
        <v>N</v>
      </c>
      <c r="C34" s="3"/>
      <c r="D34" s="218" t="s">
        <v>68</v>
      </c>
      <c r="E34" s="3"/>
      <c r="F34" s="10" t="s">
        <v>82</v>
      </c>
      <c r="H34" s="218"/>
      <c r="I34" s="218"/>
      <c r="J34" s="66" t="str">
        <f>IF(D34="Y",IF(I34="Electric Resistance",Reference2!Y24,Reference2!AA24),"")</f>
        <v/>
      </c>
      <c r="K34" s="62" t="str">
        <f t="shared" si="1"/>
        <v/>
      </c>
      <c r="L34" s="63" t="str">
        <f t="shared" si="3"/>
        <v/>
      </c>
      <c r="M34" s="220" t="s">
        <v>57</v>
      </c>
      <c r="O34" s="218"/>
      <c r="P34" s="218"/>
      <c r="Q34" s="22"/>
      <c r="R34" s="60" t="str">
        <f t="shared" si="2"/>
        <v/>
      </c>
      <c r="S34" s="3"/>
      <c r="T34" s="60" t="str">
        <f>IF(AND(B34="Y",D34="N"),'Existing Systems and Loads'!E26,IF(D34="Y",H34,""))</f>
        <v/>
      </c>
      <c r="U34" s="60" t="str">
        <f>IF(AND(B34="Y",D34="N"),'Existing Systems and Loads'!F26,IF(D34="Y",I34,""))</f>
        <v/>
      </c>
      <c r="V34" s="60" t="str">
        <f>IF(AND(B34="Y",D34="N"),'Existing Systems and Loads'!O26,IF(D34="Y",R34,""))</f>
        <v/>
      </c>
      <c r="W34" s="3"/>
      <c r="X34" s="61"/>
      <c r="Y34" s="27"/>
      <c r="Z34" s="3"/>
      <c r="AA34" s="3"/>
      <c r="AB34" s="3"/>
      <c r="AC34" s="3"/>
      <c r="AD34" s="3"/>
      <c r="AE34" s="3"/>
      <c r="AF34" s="3"/>
    </row>
    <row r="35" spans="2:32" x14ac:dyDescent="0.25">
      <c r="B35" s="17" t="str">
        <f>'Existing Systems and Loads'!B27</f>
        <v>Y</v>
      </c>
      <c r="C35" s="3"/>
      <c r="D35" s="218" t="s">
        <v>57</v>
      </c>
      <c r="E35" s="3"/>
      <c r="F35" t="s">
        <v>84</v>
      </c>
      <c r="H35" s="218" t="s">
        <v>85</v>
      </c>
      <c r="I35" s="218" t="s">
        <v>128</v>
      </c>
      <c r="J35" s="66">
        <f>IF(D35="N","",IF(LEFT(H35,5)="Tankl",VLOOKUP(H35,Reference2!A30:I31,5),IF(I35="Electric - Heat Pump",VLOOKUP(H35,Reference2!A32:I33,9),VLOOKUP(H35,Reference2!A32:I33,7))))</f>
        <v>4500</v>
      </c>
      <c r="K35" s="62">
        <f t="shared" si="1"/>
        <v>240</v>
      </c>
      <c r="L35" s="63">
        <f t="shared" si="3"/>
        <v>4500</v>
      </c>
      <c r="M35" s="220" t="s">
        <v>57</v>
      </c>
      <c r="O35" s="218"/>
      <c r="P35" s="218"/>
      <c r="Q35" s="22"/>
      <c r="R35" s="60">
        <f t="shared" si="2"/>
        <v>4500</v>
      </c>
      <c r="S35" s="3"/>
      <c r="T35" s="60" t="str">
        <f>IF(AND(B35="Y",D35="N"),'Existing Systems and Loads'!E27,IF(D35="Y",H35,""))</f>
        <v>Tank &lt; 50gal</v>
      </c>
      <c r="U35" s="60" t="str">
        <f>IF(AND(B35="Y",D35="N"),'Existing Systems and Loads'!F27,IF(D35="Y",I35,""))</f>
        <v>Electric - Heat Pump</v>
      </c>
      <c r="V35" s="60">
        <f>IF(AND(B35="Y",D35="N"),'Existing Systems and Loads'!O27,IF(D35="Y",R35,""))</f>
        <v>4500</v>
      </c>
      <c r="W35" s="3"/>
      <c r="X35" s="61"/>
      <c r="Z35" s="3"/>
      <c r="AA35" s="3"/>
      <c r="AB35" s="3"/>
      <c r="AC35" s="3"/>
      <c r="AD35" s="3"/>
      <c r="AE35" s="3"/>
      <c r="AF35" s="3"/>
    </row>
    <row r="36" spans="2:32" x14ac:dyDescent="0.25">
      <c r="B36" s="17" t="str">
        <f>'Existing Systems and Loads'!B28</f>
        <v>N</v>
      </c>
      <c r="C36" s="3"/>
      <c r="D36" s="218" t="s">
        <v>68</v>
      </c>
      <c r="E36" s="3"/>
      <c r="F36" t="s">
        <v>130</v>
      </c>
      <c r="H36" s="218" t="s">
        <v>131</v>
      </c>
      <c r="I36" s="219"/>
      <c r="J36" s="66" t="str">
        <f>IF(AND(D36="Y",I36="None"),0,IF(D36="N","",IF(LEFT(H36,5)="Tankl",VLOOKUP(H36,Reference2!A3o:I51,5),IF(I36="Electric - Heat Pump",VLOOKUP(H36,Reference2!A32:I33,9),VLOOKUP(H36,Reference2!A32:I33,7)))))</f>
        <v/>
      </c>
      <c r="K36" s="62" t="str">
        <f>IF(D36="Y",IF(I36="None","",240), "")</f>
        <v/>
      </c>
      <c r="L36" s="63" t="str">
        <f t="shared" ref="L36" si="4">IF(D36="Y",J36,"")</f>
        <v/>
      </c>
      <c r="M36" s="220" t="s">
        <v>57</v>
      </c>
      <c r="O36" s="218"/>
      <c r="P36" s="218"/>
      <c r="Q36" s="22"/>
      <c r="R36" s="60" t="str">
        <f t="shared" si="2"/>
        <v/>
      </c>
      <c r="S36" s="3"/>
      <c r="T36" s="60" t="str">
        <f>IF(AND(B36="Y",D36="N"),'Existing Systems and Loads'!E28,IF(D36="Y",H36,""))</f>
        <v/>
      </c>
      <c r="U36" s="60" t="str">
        <f>IF(AND(B36="Y",D36="N"),'Existing Systems and Loads'!F28,IF(D36="Y",I36,""))</f>
        <v/>
      </c>
      <c r="V36" s="60" t="str">
        <f>IF(AND(B36="Y",D36="N"),'Existing Systems and Loads'!O28,IF(D36="Y",R36,""))</f>
        <v/>
      </c>
      <c r="W36" s="3"/>
      <c r="X36" s="61"/>
      <c r="Y36" s="27"/>
      <c r="Z36" s="3"/>
      <c r="AA36" s="3"/>
      <c r="AB36" s="3"/>
      <c r="AC36" s="3"/>
      <c r="AD36" s="3"/>
      <c r="AE36" s="3"/>
    </row>
    <row r="37" spans="2:32" x14ac:dyDescent="0.25">
      <c r="B37" s="17" t="str">
        <f>'Existing Systems and Loads'!B29</f>
        <v>Y</v>
      </c>
      <c r="C37" s="3"/>
      <c r="D37" s="218" t="s">
        <v>57</v>
      </c>
      <c r="E37" s="3"/>
      <c r="F37" t="s">
        <v>87</v>
      </c>
      <c r="H37" s="218" t="s">
        <v>132</v>
      </c>
      <c r="I37" s="14" t="s">
        <v>63</v>
      </c>
      <c r="J37" s="66">
        <f>IF(D37="N","",VLOOKUP(H37,Reference2!A37:C39,3))</f>
        <v>12000</v>
      </c>
      <c r="K37" s="62">
        <f t="shared" si="1"/>
        <v>240</v>
      </c>
      <c r="L37" s="63">
        <f t="shared" si="3"/>
        <v>12000</v>
      </c>
      <c r="M37" s="220" t="s">
        <v>57</v>
      </c>
      <c r="O37" s="218"/>
      <c r="P37" s="218"/>
      <c r="Q37" s="22"/>
      <c r="R37" s="60">
        <f>IF(D37="N", 0,IF(M37="Y",L37,P37*O37))</f>
        <v>12000</v>
      </c>
      <c r="S37" s="3"/>
      <c r="T37" s="60" t="str">
        <f>IF(AND(B37="Y",D37="N"),'Existing Systems and Loads'!E29,IF(D37="Y",H37,""))</f>
        <v>50 Amp</v>
      </c>
      <c r="U37" s="60" t="str">
        <f>IF(AND(B37="Y",D37="N"),'Existing Systems and Loads'!F29,IF(D37="Y",I37,""))</f>
        <v>Electric</v>
      </c>
      <c r="V37" s="60">
        <f>IF(AND(B37="Y",D37="N"),'Existing Systems and Loads'!O29,IF(D37="Y",R37,0))</f>
        <v>12000</v>
      </c>
      <c r="W37" s="27" t="s">
        <v>89</v>
      </c>
      <c r="X37" s="61"/>
      <c r="Z37" s="3"/>
      <c r="AA37" s="3"/>
      <c r="AB37" s="3"/>
      <c r="AC37" s="3"/>
      <c r="AD37" s="3"/>
      <c r="AE37" s="3"/>
      <c r="AF37" s="3"/>
    </row>
    <row r="38" spans="2:32" x14ac:dyDescent="0.25">
      <c r="B38" s="17" t="str">
        <f>'Existing Systems and Loads'!B30</f>
        <v>N</v>
      </c>
      <c r="C38" s="3"/>
      <c r="D38" s="218" t="s">
        <v>68</v>
      </c>
      <c r="E38" s="3"/>
      <c r="F38" t="s">
        <v>90</v>
      </c>
      <c r="H38" s="219"/>
      <c r="I38" s="14" t="s">
        <v>63</v>
      </c>
      <c r="J38" s="3"/>
      <c r="K38" s="3"/>
      <c r="O38" s="219"/>
      <c r="P38" s="219"/>
      <c r="Q38" s="22"/>
      <c r="R38" s="14" t="str">
        <f t="shared" ref="R38:R40" si="5">IF(D38="N","",O38*P38)</f>
        <v/>
      </c>
      <c r="S38" s="3"/>
      <c r="T38" s="60" t="str">
        <f>IF(AND(B38="Y",D38="N"),'Existing Systems and Loads'!E30,IF(D38="Y",H38,""))</f>
        <v/>
      </c>
      <c r="U38" s="60" t="str">
        <f>IF(AND(B38="Y",D38="N"),'Existing Systems and Loads'!F30,IF(D38="Y",I38,""))</f>
        <v/>
      </c>
      <c r="V38" s="60" t="str">
        <f>IF(AND(B38="Y",D38="N"),'Existing Systems and Loads'!O30,IF(D38="Y",R38,""))</f>
        <v/>
      </c>
      <c r="W38" s="3"/>
      <c r="X38" s="61"/>
      <c r="Y38" s="27"/>
      <c r="Z38" s="3"/>
      <c r="AA38" s="3"/>
      <c r="AB38" s="3"/>
      <c r="AC38" s="3"/>
      <c r="AD38" s="3"/>
      <c r="AE38" s="3"/>
    </row>
    <row r="39" spans="2:32" x14ac:dyDescent="0.25">
      <c r="B39" s="17" t="str">
        <f>'Existing Systems and Loads'!B31</f>
        <v>N</v>
      </c>
      <c r="C39" s="3"/>
      <c r="D39" s="218" t="s">
        <v>68</v>
      </c>
      <c r="E39" s="3"/>
      <c r="F39" t="s">
        <v>92</v>
      </c>
      <c r="H39" s="219"/>
      <c r="I39" s="14" t="s">
        <v>63</v>
      </c>
      <c r="J39" s="3"/>
      <c r="K39" s="3"/>
      <c r="O39" s="219"/>
      <c r="P39" s="219"/>
      <c r="Q39" s="22"/>
      <c r="R39" s="14" t="str">
        <f t="shared" si="5"/>
        <v/>
      </c>
      <c r="S39" s="3"/>
      <c r="T39" s="60" t="str">
        <f>IF(AND(B39="Y",D39="N"),'Existing Systems and Loads'!E31,IF(D39="Y",H39,""))</f>
        <v/>
      </c>
      <c r="U39" s="60" t="str">
        <f>IF(AND(B39="Y",D39="N"),'Existing Systems and Loads'!F31,IF(D39="Y",I39,""))</f>
        <v/>
      </c>
      <c r="V39" s="60" t="str">
        <f>IF(AND(B39="Y",D39="N"),'Existing Systems and Loads'!O31,IF(D39="Y",R39,""))</f>
        <v/>
      </c>
      <c r="W39" s="3"/>
      <c r="X39" s="61"/>
      <c r="Y39" s="27"/>
      <c r="Z39" s="3"/>
      <c r="AA39" s="3"/>
      <c r="AB39" s="3"/>
      <c r="AC39" s="3"/>
      <c r="AD39" s="3"/>
      <c r="AE39" s="3"/>
    </row>
    <row r="40" spans="2:32" x14ac:dyDescent="0.25">
      <c r="B40" s="17" t="str">
        <f>'Existing Systems and Loads'!B32</f>
        <v>N</v>
      </c>
      <c r="C40" s="3"/>
      <c r="D40" s="218" t="s">
        <v>68</v>
      </c>
      <c r="E40" s="3"/>
      <c r="F40" t="s">
        <v>93</v>
      </c>
      <c r="H40" s="219"/>
      <c r="I40" s="14" t="s">
        <v>63</v>
      </c>
      <c r="J40" s="3"/>
      <c r="K40" s="3"/>
      <c r="O40" s="219"/>
      <c r="P40" s="219"/>
      <c r="Q40" s="22"/>
      <c r="R40" s="14" t="str">
        <f t="shared" si="5"/>
        <v/>
      </c>
      <c r="S40" s="3"/>
      <c r="T40" s="60" t="str">
        <f>IF(AND(B40="Y",D40="N"),'Existing Systems and Loads'!E32,IF(D40="Y",H40,""))</f>
        <v/>
      </c>
      <c r="U40" s="60" t="str">
        <f>IF(AND(B40="Y",D40="N"),'Existing Systems and Loads'!F32,IF(D40="Y",I40,""))</f>
        <v/>
      </c>
      <c r="V40" s="60" t="str">
        <f>IF(AND(B40="Y",D40="N"),'Existing Systems and Loads'!O32,IF(D40="Y",R40,""))</f>
        <v/>
      </c>
      <c r="W40" s="3"/>
      <c r="X40" s="61"/>
      <c r="Y40" s="27"/>
      <c r="Z40" s="3"/>
      <c r="AA40" s="3"/>
      <c r="AB40" s="3"/>
      <c r="AC40" s="3"/>
      <c r="AD40" s="3"/>
      <c r="AE40" s="3"/>
    </row>
    <row r="41" spans="2:32" x14ac:dyDescent="0.25">
      <c r="T41" s="27" t="s">
        <v>121</v>
      </c>
      <c r="AD41" s="3"/>
    </row>
    <row r="43" spans="2:32" x14ac:dyDescent="0.25">
      <c r="I43" s="27"/>
    </row>
  </sheetData>
  <sheetProtection algorithmName="SHA-512" hashValue="a0B1JOAqY34aHwo+9OHa2wRkPd6IRS3/iNY6pwzIBwhYpDJMVehxDLAr4u719j1DIT38j7luobKjWLIb/NaJxA==" saltValue="5irBL3L9Hm6eDw8JoRbFMg==" spinCount="100000" sheet="1" objects="1" scenarios="1" selectLockedCells="1"/>
  <mergeCells count="3">
    <mergeCell ref="AK22:AL22"/>
    <mergeCell ref="T22:V22"/>
    <mergeCell ref="K22:R22"/>
  </mergeCells>
  <conditionalFormatting sqref="B24:B40">
    <cfRule type="expression" dxfId="214" priority="20" stopIfTrue="1">
      <formula>B24="Y"</formula>
    </cfRule>
    <cfRule type="expression" dxfId="213" priority="21" stopIfTrue="1">
      <formula>B24="N"</formula>
    </cfRule>
  </conditionalFormatting>
  <conditionalFormatting sqref="D24:D27 D29:D40">
    <cfRule type="expression" dxfId="212" priority="19">
      <formula>$D24="Y"</formula>
    </cfRule>
    <cfRule type="expression" dxfId="211" priority="96">
      <formula>$D24="N"</formula>
    </cfRule>
  </conditionalFormatting>
  <conditionalFormatting sqref="D25 H25:M25 O25:P25 R25 T25:V25">
    <cfRule type="expression" dxfId="210" priority="7" stopIfTrue="1">
      <formula>#REF!="Y"</formula>
    </cfRule>
  </conditionalFormatting>
  <conditionalFormatting sqref="D27 H27 M27">
    <cfRule type="expression" dxfId="209" priority="6" stopIfTrue="1">
      <formula>LEFT($U$24,2)="NG"</formula>
    </cfRule>
  </conditionalFormatting>
  <conditionalFormatting sqref="H25 M25">
    <cfRule type="expression" dxfId="208" priority="8" stopIfTrue="1">
      <formula>$D$25="Y"</formula>
    </cfRule>
    <cfRule type="expression" dxfId="207" priority="9">
      <formula>$D$25="N"</formula>
    </cfRule>
  </conditionalFormatting>
  <conditionalFormatting sqref="H26:H27 H29:H40 I30:I36 M29:M37">
    <cfRule type="expression" dxfId="206" priority="33" stopIfTrue="1">
      <formula>$D26="Y"</formula>
    </cfRule>
  </conditionalFormatting>
  <conditionalFormatting sqref="H26:H27 H24:I24 H29:H40 I30:I35">
    <cfRule type="expression" dxfId="205" priority="30">
      <formula>AND(ISBLANK(H24),$D24="Y")</formula>
    </cfRule>
  </conditionalFormatting>
  <conditionalFormatting sqref="H26:H27 H29:I36 M29:M37">
    <cfRule type="expression" dxfId="204" priority="34">
      <formula>$D26="N"</formula>
    </cfRule>
  </conditionalFormatting>
  <conditionalFormatting sqref="H24:I24">
    <cfRule type="expression" dxfId="203" priority="31" stopIfTrue="1">
      <formula>$D24="Y"</formula>
    </cfRule>
    <cfRule type="expression" dxfId="202" priority="32">
      <formula>$D24="N"</formula>
    </cfRule>
  </conditionalFormatting>
  <conditionalFormatting sqref="I35:I36">
    <cfRule type="expression" dxfId="201" priority="15">
      <formula>AND(LEFT($H$35,5)="Tankl",$I35="Electric - Heat Pump")</formula>
    </cfRule>
  </conditionalFormatting>
  <conditionalFormatting sqref="J24:L27">
    <cfRule type="expression" dxfId="200" priority="26">
      <formula>ISERROR(J24)</formula>
    </cfRule>
  </conditionalFormatting>
  <conditionalFormatting sqref="J29:L37">
    <cfRule type="expression" dxfId="199" priority="10">
      <formula>ISERROR(J29)</formula>
    </cfRule>
  </conditionalFormatting>
  <conditionalFormatting sqref="M24 M26:M27">
    <cfRule type="expression" dxfId="198" priority="36">
      <formula>$D24="N"</formula>
    </cfRule>
  </conditionalFormatting>
  <conditionalFormatting sqref="M26:M27 M24">
    <cfRule type="expression" dxfId="197" priority="35" stopIfTrue="1">
      <formula>$D24="Y"</formula>
    </cfRule>
  </conditionalFormatting>
  <conditionalFormatting sqref="O38:O40">
    <cfRule type="expression" dxfId="196" priority="3" stopIfTrue="1">
      <formula>AND($D38="Y",ISBLANK($O38))</formula>
    </cfRule>
    <cfRule type="expression" dxfId="195" priority="5">
      <formula>$D38="Y"</formula>
    </cfRule>
  </conditionalFormatting>
  <conditionalFormatting sqref="O24:P27">
    <cfRule type="expression" dxfId="194" priority="37">
      <formula>$M24="Y"</formula>
    </cfRule>
    <cfRule type="expression" dxfId="193" priority="38">
      <formula>AND(ISBLANK(O24),$M24="N")</formula>
    </cfRule>
    <cfRule type="expression" dxfId="192" priority="39">
      <formula>$M24="N"</formula>
    </cfRule>
  </conditionalFormatting>
  <conditionalFormatting sqref="O29:P37">
    <cfRule type="expression" dxfId="191" priority="11">
      <formula>$M29="Y"</formula>
    </cfRule>
    <cfRule type="expression" dxfId="190" priority="12">
      <formula>AND(ISBLANK(O29),$M29="N")</formula>
    </cfRule>
    <cfRule type="expression" dxfId="189" priority="13">
      <formula>$M29="N"</formula>
    </cfRule>
  </conditionalFormatting>
  <conditionalFormatting sqref="P38:P40">
    <cfRule type="expression" dxfId="188" priority="1" stopIfTrue="1">
      <formula>AND($D38="Y",ISBLANK($P38))</formula>
    </cfRule>
    <cfRule type="expression" dxfId="187" priority="2">
      <formula>$D38="Y"</formula>
    </cfRule>
  </conditionalFormatting>
  <conditionalFormatting sqref="R24:R27 R29:R40">
    <cfRule type="expression" dxfId="186" priority="27">
      <formula>ISERROR($R24)</formula>
    </cfRule>
  </conditionalFormatting>
  <pageMargins left="0.7" right="0.7" top="0.75" bottom="0.75" header="0.3" footer="0.3"/>
  <ignoredErrors>
    <ignoredError sqref="K36" formula="1"/>
  </ignoredErrors>
  <drawing r:id="rId1"/>
  <extLst>
    <ext xmlns:x14="http://schemas.microsoft.com/office/spreadsheetml/2009/9/main" uri="{CCE6A557-97BC-4b89-ADB6-D9C93CAAB3DF}">
      <x14:dataValidations xmlns:xm="http://schemas.microsoft.com/office/excel/2006/main" count="26">
        <x14:dataValidation type="list" allowBlank="1" showInputMessage="1" showErrorMessage="1" xr:uid="{34877E05-49A0-446C-8C0A-74F19EFFAAD5}">
          <x14:formula1>
            <xm:f>Reference2!$A$30:$A$34</xm:f>
          </x14:formula1>
          <xm:sqref>H35:H36</xm:sqref>
        </x14:dataValidation>
        <x14:dataValidation type="list" allowBlank="1" showInputMessage="1" showErrorMessage="1" xr:uid="{0333256F-7A7D-40DC-83EE-5FA58F58E320}">
          <x14:formula1>
            <xm:f>Reference!$A$55:$A$57</xm:f>
          </x14:formula1>
          <xm:sqref>H37</xm:sqref>
        </x14:dataValidation>
        <x14:dataValidation type="list" allowBlank="1" showInputMessage="1" showErrorMessage="1" xr:uid="{E9645D57-66B8-4C8A-9C49-6962689FE7E6}">
          <x14:formula1>
            <xm:f>Reference!$C$49:$C$52</xm:f>
          </x14:formula1>
          <xm:sqref>AB35:AB37</xm:sqref>
        </x14:dataValidation>
        <x14:dataValidation type="list" allowBlank="1" showInputMessage="1" showErrorMessage="1" xr:uid="{F523EE32-C8C6-47CD-88F3-28B0AF21C05D}">
          <x14:formula1>
            <xm:f>Reference2!$W$24:$W$25</xm:f>
          </x14:formula1>
          <xm:sqref>I34</xm:sqref>
        </x14:dataValidation>
        <x14:dataValidation type="list" allowBlank="1" showInputMessage="1" showErrorMessage="1" xr:uid="{B84EC53D-2F3F-43D7-9C2D-B51BBB421ED3}">
          <x14:formula1>
            <xm:f>Reference2!$Q$24</xm:f>
          </x14:formula1>
          <xm:sqref>I33</xm:sqref>
        </x14:dataValidation>
        <x14:dataValidation type="list" allowBlank="1" showInputMessage="1" showErrorMessage="1" xr:uid="{98D80618-E1A2-4451-A787-51B12EE48260}">
          <x14:formula1>
            <xm:f>Reference2!$K$24</xm:f>
          </x14:formula1>
          <xm:sqref>I32</xm:sqref>
        </x14:dataValidation>
        <x14:dataValidation type="list" allowBlank="1" showInputMessage="1" showErrorMessage="1" xr:uid="{3588A02E-EF87-472D-A492-B855174C57BB}">
          <x14:formula1>
            <xm:f>Reference2!$U$24:$U$25</xm:f>
          </x14:formula1>
          <xm:sqref>H34</xm:sqref>
        </x14:dataValidation>
        <x14:dataValidation type="list" allowBlank="1" showInputMessage="1" showErrorMessage="1" xr:uid="{364228C9-2468-4FAA-9CC8-7AF50762AF8A}">
          <x14:formula1>
            <xm:f>Reference2!$O$24</xm:f>
          </x14:formula1>
          <xm:sqref>H33</xm:sqref>
        </x14:dataValidation>
        <x14:dataValidation type="list" allowBlank="1" showInputMessage="1" showErrorMessage="1" xr:uid="{97535896-3BFD-4755-B5CF-8FAEE2DE8A19}">
          <x14:formula1>
            <xm:f>Reference2!$I$24</xm:f>
          </x14:formula1>
          <xm:sqref>H32</xm:sqref>
        </x14:dataValidation>
        <x14:dataValidation type="list" allowBlank="1" showInputMessage="1" showErrorMessage="1" xr:uid="{795D27B5-C963-41C1-8BBC-35B54A1B186E}">
          <x14:formula1>
            <xm:f>Reference2!$A$24:$A$26</xm:f>
          </x14:formula1>
          <xm:sqref>H31</xm:sqref>
        </x14:dataValidation>
        <x14:dataValidation type="list" allowBlank="1" showInputMessage="1" showErrorMessage="1" xr:uid="{D1237D54-282F-4102-899F-D70E029516AC}">
          <x14:formula1>
            <xm:f>Reference!$C$43:$C$46</xm:f>
          </x14:formula1>
          <xm:sqref>AB31:AB34</xm:sqref>
        </x14:dataValidation>
        <x14:dataValidation type="list" allowBlank="1" showInputMessage="1" showErrorMessage="1" xr:uid="{C27043E0-A5F7-4BDF-9AB6-41CA01E46BF5}">
          <x14:formula1>
            <xm:f>Reference2!$M$7:$M$10</xm:f>
          </x14:formula1>
          <xm:sqref>H25</xm:sqref>
        </x14:dataValidation>
        <x14:dataValidation type="list" allowBlank="1" showInputMessage="1" showErrorMessage="1" xr:uid="{7917780D-4295-4AC4-A176-5CE6D1A8F97A}">
          <x14:formula1>
            <xm:f>Reference!$C$26:$C$30</xm:f>
          </x14:formula1>
          <xm:sqref>AB24</xm:sqref>
        </x14:dataValidation>
        <x14:dataValidation type="list" allowBlank="1" showInputMessage="1" showErrorMessage="1" xr:uid="{B341BF70-57FA-4651-B63A-E4079C1148CA}">
          <x14:formula1>
            <xm:f>Reference2!$A$7:$A$9</xm:f>
          </x14:formula1>
          <xm:sqref>H24</xm:sqref>
        </x14:dataValidation>
        <x14:dataValidation type="list" allowBlank="1" showInputMessage="1" showErrorMessage="1" xr:uid="{262D7ADE-1A8B-4183-B867-BC6685076CB5}">
          <x14:formula1>
            <xm:f>Reference!$A$16:$A$17</xm:f>
          </x14:formula1>
          <xm:sqref>M29:M37 C24:E40 M24:M27</xm:sqref>
        </x14:dataValidation>
        <x14:dataValidation type="list" allowBlank="1" showInputMessage="1" showErrorMessage="1" xr:uid="{07189127-0B95-43F0-83E4-4DCCE0673648}">
          <x14:formula1>
            <xm:f>Reference2!$C$24:$C$25</xm:f>
          </x14:formula1>
          <xm:sqref>I31</xm:sqref>
        </x14:dataValidation>
        <x14:dataValidation type="list" allowBlank="1" showInputMessage="1" showErrorMessage="1" xr:uid="{60C29E5C-90CA-422F-BFA1-4D311EC44CFC}">
          <x14:formula1>
            <xm:f>Reference2!$C$30:$C$32</xm:f>
          </x14:formula1>
          <xm:sqref>I35:I36</xm:sqref>
        </x14:dataValidation>
        <x14:dataValidation type="list" allowBlank="1" showInputMessage="1" showErrorMessage="1" xr:uid="{88F2692C-DE01-49AF-ABCD-0A0BDDC69DAE}">
          <x14:formula1>
            <xm:f>Reference!$G$16:$G$17</xm:f>
          </x14:formula1>
          <xm:sqref>O36</xm:sqref>
        </x14:dataValidation>
        <x14:dataValidation type="list" allowBlank="1" showInputMessage="1" showErrorMessage="1" xr:uid="{7214FAF9-D7E3-4B73-8717-FFEA8107673C}">
          <x14:formula1>
            <xm:f>Reference!$C$62:$C$63</xm:f>
          </x14:formula1>
          <xm:sqref>O24:O27 O29:O40</xm:sqref>
        </x14:dataValidation>
        <x14:dataValidation type="list" allowBlank="1" showInputMessage="1" showErrorMessage="1" xr:uid="{9ECEE397-0DAB-4872-8F86-E9CFB6830F7D}">
          <x14:formula1>
            <xm:f>Reference!$G$36:$G$38</xm:f>
          </x14:formula1>
          <xm:sqref>AB29:AB30</xm:sqref>
        </x14:dataValidation>
        <x14:dataValidation type="list" allowBlank="1" showInputMessage="1" showErrorMessage="1" xr:uid="{196CF851-9897-43CB-9E5C-C0474E415901}">
          <x14:formula1>
            <xm:f>Reference2!$E$17:$E$19</xm:f>
          </x14:formula1>
          <xm:sqref>H30</xm:sqref>
        </x14:dataValidation>
        <x14:dataValidation type="list" allowBlank="1" showInputMessage="1" showErrorMessage="1" xr:uid="{866365CF-4A99-4493-8863-590DCFE57549}">
          <x14:formula1>
            <xm:f>Reference2!$G$17:$G$18</xm:f>
          </x14:formula1>
          <xm:sqref>I30</xm:sqref>
        </x14:dataValidation>
        <x14:dataValidation type="list" allowBlank="1" showInputMessage="1" showErrorMessage="1" xr:uid="{68BE8E2A-691E-4D73-B302-70191B12C4AF}">
          <x14:formula1>
            <xm:f>Reference2!$A$17:$A$19</xm:f>
          </x14:formula1>
          <xm:sqref>H29</xm:sqref>
        </x14:dataValidation>
        <x14:dataValidation type="list" allowBlank="1" showInputMessage="1" showErrorMessage="1" xr:uid="{97B337B9-30A3-482D-A186-FFD148DC1E60}">
          <x14:formula1>
            <xm:f>Reference2!$U$7:$U$8</xm:f>
          </x14:formula1>
          <xm:sqref>H26</xm:sqref>
        </x14:dataValidation>
        <x14:dataValidation type="list" allowBlank="1" showInputMessage="1" showErrorMessage="1" xr:uid="{AA9999FD-C08F-4EAB-B7EE-37002DD1087B}">
          <x14:formula1>
            <xm:f>Reference2!$Y$7:$Y$8</xm:f>
          </x14:formula1>
          <xm:sqref>H27</xm:sqref>
        </x14:dataValidation>
        <x14:dataValidation type="list" allowBlank="1" showInputMessage="1" showErrorMessage="1" xr:uid="{0D940980-3049-4B2E-9C37-04306C4AC7E4}">
          <x14:formula1>
            <xm:f>Reference2!$C$7:$C$7</xm:f>
          </x14:formula1>
          <xm:sqref>I24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FD56B-3C09-4756-8A75-F48B20D38B6D}">
  <sheetPr>
    <tabColor rgb="FFFFFF00"/>
  </sheetPr>
  <dimension ref="B2:U65"/>
  <sheetViews>
    <sheetView showGridLines="0" showRowColHeaders="0" zoomScale="120" zoomScaleNormal="120" workbookViewId="0">
      <selection activeCell="L26" sqref="L26"/>
    </sheetView>
  </sheetViews>
  <sheetFormatPr defaultRowHeight="15" x14ac:dyDescent="0.25"/>
  <cols>
    <col min="2" max="2" width="27.85546875" customWidth="1"/>
    <col min="3" max="3" width="13.5703125" customWidth="1"/>
    <col min="4" max="4" width="13.85546875" customWidth="1"/>
    <col min="5" max="5" width="2.42578125" customWidth="1"/>
    <col min="6" max="6" width="11.85546875" bestFit="1" customWidth="1"/>
    <col min="7" max="7" width="2.85546875" customWidth="1"/>
    <col min="8" max="8" width="11.85546875" bestFit="1" customWidth="1"/>
    <col min="9" max="9" width="3" customWidth="1"/>
    <col min="10" max="10" width="11.85546875" bestFit="1" customWidth="1"/>
    <col min="11" max="11" width="3.7109375" customWidth="1"/>
  </cols>
  <sheetData>
    <row r="2" spans="14:21" ht="30" customHeight="1" thickBot="1" x14ac:dyDescent="0.4">
      <c r="N2" s="210" t="s">
        <v>133</v>
      </c>
      <c r="O2" s="5"/>
      <c r="P2" s="5"/>
      <c r="Q2" s="5"/>
      <c r="R2" s="5"/>
      <c r="S2" s="5"/>
      <c r="T2" s="5"/>
      <c r="U2" s="5"/>
    </row>
    <row r="10" spans="14:21" ht="19.5" thickBot="1" x14ac:dyDescent="0.35">
      <c r="N10" s="211" t="s">
        <v>134</v>
      </c>
      <c r="O10" s="5"/>
      <c r="P10" s="5"/>
      <c r="Q10" s="5"/>
      <c r="R10" s="5"/>
      <c r="S10" s="5"/>
      <c r="T10" s="5"/>
      <c r="U10" s="5"/>
    </row>
    <row r="17" spans="2:16" x14ac:dyDescent="0.25">
      <c r="P17" s="6"/>
    </row>
    <row r="22" spans="2:16" ht="15.75" thickBot="1" x14ac:dyDescent="0.3"/>
    <row r="23" spans="2:16" ht="45.75" thickBot="1" x14ac:dyDescent="0.3">
      <c r="C23" s="160" t="s">
        <v>135</v>
      </c>
      <c r="D23" s="155" t="s">
        <v>136</v>
      </c>
      <c r="E23" s="135"/>
      <c r="F23" s="136" t="s">
        <v>137</v>
      </c>
      <c r="G23" s="135"/>
      <c r="H23" s="136" t="s">
        <v>138</v>
      </c>
      <c r="I23" s="135"/>
      <c r="J23" s="156" t="s">
        <v>139</v>
      </c>
    </row>
    <row r="24" spans="2:16" x14ac:dyDescent="0.25">
      <c r="B24" s="134" t="s">
        <v>140</v>
      </c>
      <c r="C24" s="161">
        <f>'Panel Load - Baseline'!H65</f>
        <v>85.075000000000003</v>
      </c>
      <c r="D24" s="155"/>
      <c r="E24" s="135"/>
      <c r="F24" s="136"/>
      <c r="G24" s="135"/>
      <c r="H24" s="136"/>
      <c r="I24" s="135"/>
      <c r="J24" s="136"/>
      <c r="K24" s="137"/>
    </row>
    <row r="25" spans="2:16" ht="4.5" customHeight="1" x14ac:dyDescent="0.25">
      <c r="B25" s="140"/>
      <c r="D25" s="162"/>
      <c r="F25" s="35"/>
      <c r="H25" s="35"/>
      <c r="J25" s="35"/>
      <c r="K25" s="141"/>
    </row>
    <row r="26" spans="2:16" x14ac:dyDescent="0.25">
      <c r="B26" s="140" t="s">
        <v>141</v>
      </c>
      <c r="D26" s="163">
        <f>'Panel Load - Goal'!H65</f>
        <v>118.96666666666667</v>
      </c>
      <c r="F26" s="35"/>
      <c r="H26" s="35"/>
      <c r="J26" s="35"/>
      <c r="K26" s="141"/>
      <c r="L26" s="87"/>
      <c r="N26" s="87"/>
    </row>
    <row r="27" spans="2:16" s="131" customFormat="1" ht="11.25" x14ac:dyDescent="0.2">
      <c r="B27" s="138"/>
      <c r="D27" s="164"/>
      <c r="F27" s="158"/>
      <c r="H27" s="158"/>
      <c r="J27" s="158"/>
      <c r="K27" s="139"/>
    </row>
    <row r="28" spans="2:16" x14ac:dyDescent="0.25">
      <c r="B28" s="140" t="s">
        <v>142</v>
      </c>
      <c r="D28" s="165"/>
      <c r="F28" s="157">
        <f>D26-'Panel Calc Resources'!N10</f>
        <v>0</v>
      </c>
      <c r="H28" s="157">
        <f>D26-'Panel Calc Resources'!N11</f>
        <v>0</v>
      </c>
      <c r="J28" s="157" t="str">
        <f>IF(AND(J56="N",J57="N",J58="N"),"",D26-'Panel Calc Resources'!N12)</f>
        <v/>
      </c>
      <c r="K28" s="141"/>
      <c r="M28" s="87"/>
    </row>
    <row r="29" spans="2:16" x14ac:dyDescent="0.25">
      <c r="B29" s="140" t="s">
        <v>143</v>
      </c>
      <c r="D29" s="165"/>
      <c r="F29" s="142">
        <f>F28/D26</f>
        <v>0</v>
      </c>
      <c r="H29" s="142">
        <f>H28/D26</f>
        <v>0</v>
      </c>
      <c r="J29" s="142" t="str">
        <f>IF(AND(J56="N",J57="N",J58="N"),"",J28/D26)</f>
        <v/>
      </c>
      <c r="K29" s="141"/>
    </row>
    <row r="30" spans="2:16" s="131" customFormat="1" ht="11.25" x14ac:dyDescent="0.2">
      <c r="B30" s="138"/>
      <c r="D30" s="166"/>
      <c r="F30" s="159"/>
      <c r="H30" s="159"/>
      <c r="J30" s="159"/>
      <c r="K30" s="139"/>
    </row>
    <row r="31" spans="2:16" ht="19.5" thickBot="1" x14ac:dyDescent="0.35">
      <c r="B31" s="143" t="s">
        <v>144</v>
      </c>
      <c r="C31" s="145"/>
      <c r="D31" s="167">
        <f>D26</f>
        <v>118.96666666666667</v>
      </c>
      <c r="E31" s="145"/>
      <c r="F31" s="144">
        <f>'Panel Calc Resources'!N10</f>
        <v>118.96666666666667</v>
      </c>
      <c r="G31" s="145"/>
      <c r="H31" s="144">
        <f>'Panel Calc Resources'!N11</f>
        <v>118.96666666666667</v>
      </c>
      <c r="I31" s="145"/>
      <c r="J31" s="144" t="str">
        <f>IF(AND(J56="N",J57="N",J58="N"),"",'Panel Calc Resources'!N12)</f>
        <v/>
      </c>
      <c r="K31" s="146"/>
      <c r="L31" s="87"/>
    </row>
    <row r="32" spans="2:16" x14ac:dyDescent="0.25">
      <c r="D32" s="4"/>
      <c r="F32" s="4"/>
      <c r="H32" s="4"/>
      <c r="J32" s="31" t="str">
        <f>IF(AND(J56="N",J57="N",J58="N"),"No Load Management selected","")</f>
        <v>No Load Management selected</v>
      </c>
    </row>
    <row r="33" spans="2:14" ht="30.75" customHeight="1" thickBot="1" x14ac:dyDescent="0.4">
      <c r="B33" s="30" t="s">
        <v>145</v>
      </c>
      <c r="C33" s="30"/>
      <c r="D33" s="4"/>
      <c r="F33" s="4"/>
      <c r="H33" s="4"/>
      <c r="J33" s="4"/>
    </row>
    <row r="34" spans="2:14" ht="15.75" thickBot="1" x14ac:dyDescent="0.3">
      <c r="D34" s="4"/>
      <c r="F34" s="236" t="s">
        <v>146</v>
      </c>
      <c r="G34" s="237"/>
      <c r="H34" s="237"/>
      <c r="I34" s="237"/>
      <c r="J34" s="238"/>
    </row>
    <row r="35" spans="2:14" ht="45.75" thickBot="1" x14ac:dyDescent="0.3">
      <c r="B35" s="5"/>
      <c r="C35" s="5"/>
      <c r="D35" s="153" t="s">
        <v>147</v>
      </c>
      <c r="E35" s="5"/>
      <c r="F35" s="132" t="s">
        <v>137</v>
      </c>
      <c r="G35" s="5"/>
      <c r="H35" s="34" t="s">
        <v>138</v>
      </c>
      <c r="I35" s="5"/>
      <c r="J35" s="133" t="s">
        <v>139</v>
      </c>
      <c r="K35" s="5"/>
    </row>
    <row r="36" spans="2:14" ht="5.25" customHeight="1" x14ac:dyDescent="0.25">
      <c r="B36" s="134"/>
      <c r="C36" s="135"/>
      <c r="D36" s="155"/>
      <c r="E36" s="135"/>
      <c r="F36" s="136"/>
      <c r="G36" s="135"/>
      <c r="H36" s="136"/>
      <c r="I36" s="135"/>
      <c r="J36" s="136"/>
      <c r="K36" s="137"/>
    </row>
    <row r="37" spans="2:14" x14ac:dyDescent="0.25">
      <c r="B37" s="140" t="s">
        <v>58</v>
      </c>
      <c r="D37" s="168" t="str">
        <f>'Electrification Upgrades'!D24</f>
        <v>Y</v>
      </c>
      <c r="F37" s="3" t="s">
        <v>148</v>
      </c>
      <c r="H37" s="3" t="str">
        <f>'Opt. 2 - Right-Size HVAC'!$D$8</f>
        <v>N</v>
      </c>
      <c r="J37" s="3" t="str">
        <f>IF($J$58="Y",'Opt. 3 - Load Mgmt'!$J$40,IF(H37="Y","Opt. 2",IF(D37="Y","Init. Upgrade","")))</f>
        <v>Init. Upgrade</v>
      </c>
      <c r="K37" s="141"/>
      <c r="M37" s="19"/>
      <c r="N37" s="19"/>
    </row>
    <row r="38" spans="2:14" x14ac:dyDescent="0.25">
      <c r="B38" s="140" t="s">
        <v>149</v>
      </c>
      <c r="D38" s="168" t="str">
        <f>'Electrification Upgrades'!D25</f>
        <v>Y</v>
      </c>
      <c r="F38" s="3" t="s">
        <v>148</v>
      </c>
      <c r="H38" s="3" t="str">
        <f>'Opt. 2 - Right-Size HVAC'!$D$8</f>
        <v>N</v>
      </c>
      <c r="J38" s="3" t="str">
        <f>IF($J$58="Y",'Opt. 3 - Load Mgmt'!$J$40,IF(H38="Y","Opt. 2",IF(D38="Y","Init. Upgrade","")))</f>
        <v>Init. Upgrade</v>
      </c>
      <c r="K38" s="141"/>
      <c r="M38" s="19"/>
      <c r="N38" s="19"/>
    </row>
    <row r="39" spans="2:14" x14ac:dyDescent="0.25">
      <c r="B39" s="140" t="s">
        <v>65</v>
      </c>
      <c r="D39" s="168" t="str">
        <f>'Electrification Upgrades'!D26</f>
        <v>Y</v>
      </c>
      <c r="F39" s="3" t="s">
        <v>148</v>
      </c>
      <c r="H39" s="3" t="str">
        <f>'Opt. 2 - Right-Size HVAC'!$D$8</f>
        <v>N</v>
      </c>
      <c r="J39" s="3" t="str">
        <f>IF($J$58="Y",'Opt. 3 - Load Mgmt'!$J$40,IF(H39="Y","Opt. 2",IF(D39="Y","Init. Upgrade","")))</f>
        <v>Init. Upgrade</v>
      </c>
      <c r="K39" s="141"/>
    </row>
    <row r="40" spans="2:14" x14ac:dyDescent="0.25">
      <c r="B40" s="140" t="s">
        <v>150</v>
      </c>
      <c r="D40" s="168" t="str">
        <f>'Electrification Upgrades'!D27</f>
        <v>N</v>
      </c>
      <c r="F40" s="3" t="s">
        <v>148</v>
      </c>
      <c r="H40" s="3" t="str">
        <f>'Opt. 2 - Right-Size HVAC'!$D$17</f>
        <v>N</v>
      </c>
      <c r="J40" s="3" t="str">
        <f>IF(AND(J58="N",J57="N",J56="N"),"",IF($J$58="Y",'Opt. 3 - Load Mgmt'!$J$40,IF(H40="Y","Opt. 2",IF(D40="Y","Init. Upgrade",""))))</f>
        <v/>
      </c>
      <c r="K40" s="141"/>
    </row>
    <row r="41" spans="2:14" s="131" customFormat="1" ht="11.25" x14ac:dyDescent="0.2">
      <c r="B41" s="138"/>
      <c r="D41" s="169"/>
      <c r="F41" s="170"/>
      <c r="K41" s="139"/>
    </row>
    <row r="42" spans="2:14" x14ac:dyDescent="0.25">
      <c r="B42" s="140" t="s">
        <v>71</v>
      </c>
      <c r="D42" s="168" t="str">
        <f>'Electrification Upgrades'!D29</f>
        <v>N</v>
      </c>
      <c r="F42" s="3" t="str">
        <f>'Opt. 1 - Low-Power Appliances'!D14</f>
        <v>N</v>
      </c>
      <c r="H42" s="3" t="str">
        <f>IF(F42="Y", "Opt. 1",IF(D42="Y","Init. Upgrade",""))</f>
        <v/>
      </c>
      <c r="J42" s="3" t="str">
        <f>IF($J$56="Y",'Opt. 3 - Load Mgmt'!$J$20,IF($J$58="Y",'Opt. 3 - Load Mgmt'!$J$45,H42))</f>
        <v/>
      </c>
      <c r="K42" s="141"/>
      <c r="M42" s="19"/>
    </row>
    <row r="43" spans="2:14" x14ac:dyDescent="0.25">
      <c r="B43" s="140" t="s">
        <v>73</v>
      </c>
      <c r="D43" s="168" t="str">
        <f>'Electrification Upgrades'!D30</f>
        <v>Y</v>
      </c>
      <c r="F43" s="3" t="str">
        <f>'Opt. 1 - Low-Power Appliances'!D14</f>
        <v>N</v>
      </c>
      <c r="H43" s="3" t="str">
        <f>IF(F43="Y", "Opt. 1",IF(D43="Y","Init. Upgrade",""))</f>
        <v>Init. Upgrade</v>
      </c>
      <c r="J43" s="3" t="str">
        <f>IF($J$56="Y",'Opt. 3 - Load Mgmt'!$J$20,IF($J$58="Y",'Opt. 3 - Load Mgmt'!$J$45,H43))</f>
        <v>Init. Upgrade</v>
      </c>
      <c r="K43" s="141"/>
      <c r="M43" s="19"/>
    </row>
    <row r="44" spans="2:14" x14ac:dyDescent="0.25">
      <c r="B44" s="140" t="s">
        <v>76</v>
      </c>
      <c r="D44" s="168" t="str">
        <f>'Electrification Upgrades'!D31</f>
        <v>Y</v>
      </c>
      <c r="F44" s="3" t="str">
        <f>'Opt. 1 - Low-Power Appliances'!$D$22</f>
        <v>N</v>
      </c>
      <c r="H44" s="3" t="str">
        <f>IF(F44="Y", "Opt. 1",IF(D44="Y","Init. Upgrade",""))</f>
        <v>Init. Upgrade</v>
      </c>
      <c r="J44" s="3" t="str">
        <f>IF(F44="Y","Opt 1",IF(D44="Y","Init. Upgrade",""))</f>
        <v>Init. Upgrade</v>
      </c>
      <c r="K44" s="141"/>
      <c r="M44" s="19"/>
    </row>
    <row r="45" spans="2:14" x14ac:dyDescent="0.25">
      <c r="B45" s="147" t="s">
        <v>79</v>
      </c>
      <c r="C45" s="9"/>
      <c r="D45" s="168" t="str">
        <f>'Electrification Upgrades'!D32</f>
        <v>N</v>
      </c>
      <c r="F45" s="3" t="str">
        <f>IF(D45="Y",'Opt. 1 - Low-Power Appliances'!$D$22,"")</f>
        <v/>
      </c>
      <c r="H45" s="3" t="str">
        <f t="shared" ref="H45:H47" si="0">IF(F45="Y", "Opt. 1",IF(D45="Y","Init. Upgrade",""))</f>
        <v/>
      </c>
      <c r="J45" s="3" t="str">
        <f t="shared" ref="J45:J47" si="1">IF(F45="Y","Opt 1",IF(D45="Y","Init. Upgrade",""))</f>
        <v/>
      </c>
      <c r="K45" s="141"/>
      <c r="M45" s="19"/>
    </row>
    <row r="46" spans="2:14" x14ac:dyDescent="0.25">
      <c r="B46" s="147" t="s">
        <v>81</v>
      </c>
      <c r="C46" s="9"/>
      <c r="D46" s="168" t="str">
        <f>'Electrification Upgrades'!D33</f>
        <v>N</v>
      </c>
      <c r="F46" s="3" t="str">
        <f>IF(D46="Y",'Opt. 1 - Low-Power Appliances'!$D$22,"")</f>
        <v/>
      </c>
      <c r="H46" s="3" t="str">
        <f t="shared" si="0"/>
        <v/>
      </c>
      <c r="J46" s="3" t="str">
        <f t="shared" si="1"/>
        <v/>
      </c>
      <c r="K46" s="141"/>
      <c r="M46" s="19"/>
    </row>
    <row r="47" spans="2:14" x14ac:dyDescent="0.25">
      <c r="B47" s="147" t="s">
        <v>82</v>
      </c>
      <c r="C47" s="9"/>
      <c r="D47" s="168" t="str">
        <f>'Electrification Upgrades'!D34</f>
        <v>N</v>
      </c>
      <c r="F47" s="3" t="str">
        <f>IF(D47="Y",'Opt. 1 - Low-Power Appliances'!$D$22,"")</f>
        <v/>
      </c>
      <c r="H47" s="3" t="str">
        <f t="shared" si="0"/>
        <v/>
      </c>
      <c r="J47" s="3" t="str">
        <f t="shared" si="1"/>
        <v/>
      </c>
      <c r="K47" s="141"/>
    </row>
    <row r="48" spans="2:14" s="131" customFormat="1" x14ac:dyDescent="0.25">
      <c r="B48" s="148"/>
      <c r="C48" s="154"/>
      <c r="D48" s="169"/>
      <c r="F48" s="170"/>
      <c r="H48" s="3"/>
      <c r="J48" s="170"/>
      <c r="K48" s="139"/>
    </row>
    <row r="49" spans="2:13" x14ac:dyDescent="0.25">
      <c r="B49" s="140" t="s">
        <v>84</v>
      </c>
      <c r="D49" s="168" t="str">
        <f>'Electrification Upgrades'!D35</f>
        <v>Y</v>
      </c>
      <c r="F49" s="3" t="str">
        <f>'Opt. 1 - Low-Power Appliances'!D6</f>
        <v>N</v>
      </c>
      <c r="H49" s="3" t="str">
        <f>IF(AND(D49="Y",F49="Y"), "Opt. 1",IF(D49="Y","Init. Upgrade",""))</f>
        <v>Init. Upgrade</v>
      </c>
      <c r="J49" s="3" t="str">
        <f>IF(AND(J58="N",J57="N",J56="N"),"",IF($J$58="Y",'Opt. 3 - Load Mgmt'!$J$51,IF(F49="Y","Opt. 1",IF(D49="Y","Init. Upgrade",""))))</f>
        <v/>
      </c>
      <c r="K49" s="141"/>
      <c r="M49" s="19"/>
    </row>
    <row r="50" spans="2:13" x14ac:dyDescent="0.25">
      <c r="B50" s="140" t="s">
        <v>130</v>
      </c>
      <c r="D50" s="168" t="str">
        <f>'Electrification Upgrades'!D36</f>
        <v>N</v>
      </c>
      <c r="F50" s="3" t="str">
        <f>IF(D50="N","",'Opt. 1 - Low-Power Appliances'!D7)</f>
        <v/>
      </c>
      <c r="H50" s="3" t="str">
        <f>IF(AND(D50="Y",F50="Y"), "Opt. 1",IF(D50="Y","Init. Upgrade",""))</f>
        <v/>
      </c>
      <c r="J50" s="3" t="str">
        <f>IF(AND($J$58="Y",D50="Y"),'Opt. 3 - Load Mgmt'!$J$52,IF(F50="Y","Opt. 1",IF(D50="Y","Init. Upgrade","")))</f>
        <v/>
      </c>
      <c r="K50" s="141"/>
    </row>
    <row r="51" spans="2:13" x14ac:dyDescent="0.25">
      <c r="B51" s="140" t="s">
        <v>87</v>
      </c>
      <c r="D51" s="168" t="str">
        <f>'Electrification Upgrades'!D37</f>
        <v>Y</v>
      </c>
      <c r="F51" s="3" t="str">
        <f>'Opt. 1 - Low-Power Appliances'!D33</f>
        <v>N</v>
      </c>
      <c r="H51" s="3" t="str">
        <f t="shared" ref="H51" si="2">IF(F51="Y", "Opt. 1","N")</f>
        <v>N</v>
      </c>
      <c r="J51" s="3" t="str">
        <f>IF($J$56="Y",IF(LEFT('Opt. 3 - Load Mgmt'!J18,3)="Low", "Opt. 1","Init. Upgrade"),IF($J$57="Y",IF(LEFT('Opt. 3 - Load Mgmt'!J29,3)="Low", "Opt. 1","Init. Upgrade"),IF($J$58="Y",IF(LEFT('Opt. 3 - Load Mgmt'!$J$53,3)="Low", "Opt. 1","Init. Upgrade"),"")))</f>
        <v/>
      </c>
      <c r="K51" s="141"/>
    </row>
    <row r="52" spans="2:13" x14ac:dyDescent="0.25">
      <c r="B52" s="140" t="s">
        <v>90</v>
      </c>
      <c r="D52" s="168" t="str">
        <f>'Electrification Upgrades'!D38</f>
        <v>N</v>
      </c>
      <c r="F52" s="3" t="s">
        <v>148</v>
      </c>
      <c r="H52" s="3" t="s">
        <v>148</v>
      </c>
      <c r="J52" s="3" t="s">
        <v>148</v>
      </c>
      <c r="K52" s="141"/>
    </row>
    <row r="53" spans="2:13" x14ac:dyDescent="0.25">
      <c r="B53" s="140" t="s">
        <v>92</v>
      </c>
      <c r="D53" s="168" t="str">
        <f>'Electrification Upgrades'!D39</f>
        <v>N</v>
      </c>
      <c r="F53" s="3" t="s">
        <v>148</v>
      </c>
      <c r="H53" s="3" t="s">
        <v>148</v>
      </c>
      <c r="J53" s="3" t="s">
        <v>148</v>
      </c>
      <c r="K53" s="141"/>
    </row>
    <row r="54" spans="2:13" x14ac:dyDescent="0.25">
      <c r="B54" s="140" t="s">
        <v>93</v>
      </c>
      <c r="D54" s="168" t="str">
        <f>'Electrification Upgrades'!D40</f>
        <v>N</v>
      </c>
      <c r="F54" s="3" t="s">
        <v>148</v>
      </c>
      <c r="H54" s="3" t="s">
        <v>148</v>
      </c>
      <c r="J54" s="3" t="s">
        <v>148</v>
      </c>
      <c r="K54" s="141"/>
    </row>
    <row r="55" spans="2:13" s="131" customFormat="1" ht="11.25" x14ac:dyDescent="0.2">
      <c r="B55" s="138"/>
      <c r="D55" s="138"/>
      <c r="J55" s="170"/>
      <c r="K55" s="139"/>
    </row>
    <row r="56" spans="2:13" x14ac:dyDescent="0.25">
      <c r="B56" s="140" t="s">
        <v>151</v>
      </c>
      <c r="D56" s="140"/>
      <c r="F56" s="3" t="s">
        <v>148</v>
      </c>
      <c r="H56" s="3" t="s">
        <v>148</v>
      </c>
      <c r="J56" s="3" t="str">
        <f>'Opt. 3 - Load Mgmt'!F8</f>
        <v>N</v>
      </c>
      <c r="K56" s="141"/>
    </row>
    <row r="57" spans="2:13" x14ac:dyDescent="0.25">
      <c r="B57" s="140" t="s">
        <v>152</v>
      </c>
      <c r="D57" s="140"/>
      <c r="F57" s="3" t="s">
        <v>148</v>
      </c>
      <c r="H57" s="3" t="s">
        <v>148</v>
      </c>
      <c r="J57" s="3" t="str">
        <f>'Opt. 3 - Load Mgmt'!F9</f>
        <v>N</v>
      </c>
      <c r="K57" s="141"/>
    </row>
    <row r="58" spans="2:13" x14ac:dyDescent="0.25">
      <c r="B58" s="140" t="s">
        <v>153</v>
      </c>
      <c r="D58" s="140"/>
      <c r="F58" s="3" t="s">
        <v>148</v>
      </c>
      <c r="H58" s="3" t="s">
        <v>148</v>
      </c>
      <c r="J58" s="3" t="str">
        <f>'Opt. 3 - Load Mgmt'!F10</f>
        <v>N</v>
      </c>
      <c r="K58" s="141"/>
    </row>
    <row r="59" spans="2:13" ht="15.75" thickBot="1" x14ac:dyDescent="0.3">
      <c r="B59" s="149"/>
      <c r="C59" s="5"/>
      <c r="D59" s="149"/>
      <c r="E59" s="5"/>
      <c r="F59" s="5"/>
      <c r="G59" s="5"/>
      <c r="H59" s="5"/>
      <c r="I59" s="5"/>
      <c r="J59" s="5"/>
      <c r="K59" s="150"/>
    </row>
    <row r="61" spans="2:13" x14ac:dyDescent="0.25">
      <c r="D61" t="s">
        <v>3</v>
      </c>
    </row>
    <row r="62" spans="2:13" x14ac:dyDescent="0.25">
      <c r="D62" s="3" t="s">
        <v>57</v>
      </c>
      <c r="F62" t="s">
        <v>154</v>
      </c>
    </row>
    <row r="63" spans="2:13" x14ac:dyDescent="0.25">
      <c r="D63" s="3" t="s">
        <v>68</v>
      </c>
      <c r="F63" t="s">
        <v>155</v>
      </c>
    </row>
    <row r="64" spans="2:13" x14ac:dyDescent="0.25">
      <c r="D64" s="3" t="s">
        <v>156</v>
      </c>
      <c r="F64" t="s">
        <v>157</v>
      </c>
    </row>
    <row r="65" spans="4:4" x14ac:dyDescent="0.25">
      <c r="D65" s="3"/>
    </row>
  </sheetData>
  <sheetProtection algorithmName="SHA-512" hashValue="nRJ6pbwUHcLkhTCygSHne2oQ8hDJECKX/SpqDB5NRJyXaGsODV7I5wpgmFXr6WkDp21rAkKAtoUFTflT/zyPSw==" saltValue="7lxHFsFzWeB/tNK08LXtKQ==" spinCount="100000" sheet="1" objects="1" scenarios="1" selectLockedCells="1"/>
  <mergeCells count="1">
    <mergeCell ref="F34:J34"/>
  </mergeCells>
  <conditionalFormatting sqref="D37:D40 H37:H40 D42:D47 F42:F47 D47:G54 I56:J58 I47:J54 D61:E63 D55:J55 D56:E58 G56:G58 D59:J60 E64:E65 D66:F66 D67:J512">
    <cfRule type="expression" dxfId="183" priority="15">
      <formula>D37="N"</formula>
    </cfRule>
  </conditionalFormatting>
  <conditionalFormatting sqref="D37:D40 H37:H40 D42:D47 F42:F47 F49:F51 D49:D54 J56:J58">
    <cfRule type="expression" dxfId="182" priority="14">
      <formula>D37="Y"</formula>
    </cfRule>
  </conditionalFormatting>
  <conditionalFormatting sqref="D62:D63">
    <cfRule type="expression" dxfId="181" priority="7">
      <formula>D62="Y"</formula>
    </cfRule>
    <cfRule type="expression" dxfId="180" priority="8">
      <formula>D62="N"</formula>
    </cfRule>
  </conditionalFormatting>
  <conditionalFormatting sqref="D64">
    <cfRule type="expression" dxfId="179" priority="5">
      <formula>D64="Opt. 1"</formula>
    </cfRule>
    <cfRule type="expression" dxfId="178" priority="6">
      <formula>D64="N"</formula>
    </cfRule>
  </conditionalFormatting>
  <conditionalFormatting sqref="D65">
    <cfRule type="expression" dxfId="177" priority="3">
      <formula>D65="Y"</formula>
    </cfRule>
    <cfRule type="expression" dxfId="176" priority="4">
      <formula>D65="N"</formula>
    </cfRule>
  </conditionalFormatting>
  <conditionalFormatting sqref="H42:H47 J42:J47 H49:H51 J49:J51">
    <cfRule type="expression" dxfId="175" priority="10">
      <formula>H42="N"</formula>
    </cfRule>
  </conditionalFormatting>
  <conditionalFormatting sqref="H52:H54">
    <cfRule type="expression" dxfId="174" priority="11">
      <formula>H52="N"</formula>
    </cfRule>
  </conditionalFormatting>
  <conditionalFormatting sqref="J37:J40 J49:J51 H42:H47 J42:J47 H49:H51">
    <cfRule type="expression" dxfId="173" priority="2">
      <formula>H37&lt;&gt;""</formula>
    </cfRule>
    <cfRule type="expression" dxfId="172" priority="9">
      <formula>H37="Opt. 1"</formula>
    </cfRule>
  </conditionalFormatting>
  <conditionalFormatting sqref="J40 J49 J51">
    <cfRule type="expression" dxfId="171" priority="1" stopIfTrue="1">
      <formula>$J40="N"</formula>
    </cfRule>
  </conditionalFormatting>
  <pageMargins left="0.7" right="0.7" top="0.75" bottom="0.75" header="0.3" footer="0.3"/>
  <ignoredErrors>
    <ignoredError sqref="H50" formula="1"/>
  </ignoredErrors>
  <drawing r:id="rId1"/>
  <extLst>
    <ext xmlns:x14="http://schemas.microsoft.com/office/spreadsheetml/2009/9/main" uri="{78C0D931-6437-407d-A8EE-F0AAD7539E65}">
      <x14:conditionalFormattings>
        <x14:conditionalFormatting xmlns:xm="http://schemas.microsoft.com/office/excel/2006/main">
          <x14:cfRule type="expression" priority="102" id="{81EF2D28-5156-4B45-B3C8-09CCC4FAED14}">
            <xm:f>D$31&lt;'Panel Calc Resources'!$B$7</xm:f>
            <x14:dxf>
              <font>
                <color rgb="FF00B050"/>
              </font>
            </x14:dxf>
          </x14:cfRule>
          <x14:cfRule type="expression" priority="103" id="{DFB11D2D-480A-41FC-B95C-785154C9002D}">
            <xm:f>D$31&gt;'Panel Calc Resources'!$B$7</xm:f>
            <x14:dxf>
              <font>
                <color rgb="FFFF0000"/>
              </font>
            </x14:dxf>
          </x14:cfRule>
          <xm:sqref>D31 F31 H31 J31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1AFE4-8062-40F8-9291-FCE5A2DFB853}">
  <sheetPr>
    <tabColor rgb="FFE1F0FF"/>
  </sheetPr>
  <dimension ref="A1:AL55"/>
  <sheetViews>
    <sheetView showGridLines="0" showRowColHeaders="0" tabSelected="1" zoomScaleNormal="100" workbookViewId="0">
      <selection activeCell="D6" sqref="D6"/>
    </sheetView>
  </sheetViews>
  <sheetFormatPr defaultRowHeight="15" x14ac:dyDescent="0.25"/>
  <cols>
    <col min="1" max="1" width="2.28515625" customWidth="1"/>
    <col min="2" max="2" width="10.85546875" customWidth="1"/>
    <col min="3" max="3" width="2.5703125" customWidth="1"/>
    <col min="4" max="4" width="16.28515625" customWidth="1"/>
    <col min="5" max="5" width="2.5703125" customWidth="1"/>
    <col min="6" max="6" width="29.5703125" customWidth="1"/>
    <col min="7" max="7" width="2.5703125" customWidth="1"/>
    <col min="8" max="9" width="20.28515625" customWidth="1"/>
    <col min="10" max="10" width="17.140625" customWidth="1"/>
    <col min="11" max="11" width="14.28515625" customWidth="1"/>
    <col min="12" max="12" width="12.28515625" customWidth="1"/>
    <col min="13" max="13" width="11.42578125" customWidth="1"/>
    <col min="14" max="14" width="2.5703125" customWidth="1"/>
    <col min="15" max="16" width="11.42578125" customWidth="1"/>
    <col min="17" max="17" width="2.5703125" customWidth="1"/>
    <col min="18" max="18" width="11.42578125" customWidth="1"/>
    <col min="19" max="19" width="2.42578125" customWidth="1"/>
    <col min="20" max="21" width="20.28515625" hidden="1" customWidth="1"/>
    <col min="22" max="22" width="11.42578125" hidden="1" customWidth="1"/>
    <col min="23" max="23" width="2.42578125" customWidth="1"/>
    <col min="24" max="24" width="19.28515625" customWidth="1"/>
    <col min="25" max="25" width="59.140625" customWidth="1"/>
    <col min="27" max="27" width="17.140625" customWidth="1"/>
    <col min="28" max="28" width="11" customWidth="1"/>
    <col min="29" max="29" width="17.140625" customWidth="1"/>
    <col min="30" max="30" width="14.28515625" customWidth="1"/>
    <col min="31" max="31" width="12.28515625" customWidth="1"/>
    <col min="32" max="32" width="11.42578125" customWidth="1"/>
    <col min="33" max="33" width="2.5703125" customWidth="1"/>
    <col min="34" max="35" width="11.42578125" customWidth="1"/>
    <col min="36" max="36" width="2.5703125" customWidth="1"/>
    <col min="37" max="38" width="11.42578125" customWidth="1"/>
  </cols>
  <sheetData>
    <row r="1" spans="1:38" ht="30" x14ac:dyDescent="0.4">
      <c r="B1" s="205" t="s">
        <v>158</v>
      </c>
    </row>
    <row r="3" spans="1:38" ht="21" x14ac:dyDescent="0.35">
      <c r="A3" s="3"/>
      <c r="B3" s="208" t="s">
        <v>159</v>
      </c>
      <c r="M3" s="1"/>
    </row>
    <row r="4" spans="1:38" ht="45" customHeight="1" x14ac:dyDescent="0.25">
      <c r="A4" s="3"/>
    </row>
    <row r="5" spans="1:38" ht="30" x14ac:dyDescent="0.25">
      <c r="B5" s="4" t="s">
        <v>160</v>
      </c>
      <c r="C5" s="4"/>
      <c r="D5" s="4" t="s">
        <v>161</v>
      </c>
      <c r="E5" s="4"/>
      <c r="F5" t="s">
        <v>47</v>
      </c>
      <c r="H5" s="3" t="s">
        <v>48</v>
      </c>
      <c r="I5" s="4" t="s">
        <v>49</v>
      </c>
      <c r="J5" s="4" t="s">
        <v>50</v>
      </c>
      <c r="K5" s="43" t="s">
        <v>51</v>
      </c>
      <c r="L5" s="43" t="s">
        <v>162</v>
      </c>
      <c r="M5" s="43" t="s">
        <v>53</v>
      </c>
      <c r="O5" s="43" t="s">
        <v>54</v>
      </c>
      <c r="P5" s="43" t="s">
        <v>55</v>
      </c>
      <c r="Q5" s="3"/>
      <c r="R5" s="43" t="s">
        <v>56</v>
      </c>
      <c r="S5" s="4"/>
      <c r="T5" s="43" t="s">
        <v>48</v>
      </c>
      <c r="U5" s="43" t="s">
        <v>127</v>
      </c>
      <c r="V5" s="43" t="s">
        <v>56</v>
      </c>
      <c r="W5" s="4"/>
      <c r="X5" s="4"/>
      <c r="Z5" s="47"/>
      <c r="AA5" s="3"/>
      <c r="AB5" s="4"/>
      <c r="AC5" s="3"/>
      <c r="AD5" s="4"/>
      <c r="AE5" s="4"/>
      <c r="AF5" s="4"/>
      <c r="AH5" s="4"/>
      <c r="AI5" s="4"/>
      <c r="AJ5" s="3"/>
      <c r="AK5" s="4"/>
      <c r="AL5" s="4"/>
    </row>
    <row r="6" spans="1:38" x14ac:dyDescent="0.25">
      <c r="B6" s="14" t="str">
        <f>'Existing Systems and Loads'!B27</f>
        <v>Y</v>
      </c>
      <c r="C6" s="3"/>
      <c r="D6" s="222" t="s">
        <v>68</v>
      </c>
      <c r="E6" s="3"/>
      <c r="F6" t="s">
        <v>84</v>
      </c>
      <c r="H6" s="218" t="s">
        <v>85</v>
      </c>
      <c r="I6" s="218" t="s">
        <v>163</v>
      </c>
      <c r="J6" s="66" t="str">
        <f>IF(D6="N","",IF(OR(H6="",I6=""),"",IF(H6="Delete WH","",Reference3!$E$30)))</f>
        <v/>
      </c>
      <c r="K6" s="62" t="str">
        <f>IF(D6="Y",120, "")</f>
        <v/>
      </c>
      <c r="L6" s="63" t="str">
        <f t="shared" ref="L6" si="0">IF(D6="Y",J6,"")</f>
        <v/>
      </c>
      <c r="M6" s="220" t="s">
        <v>57</v>
      </c>
      <c r="O6" s="218"/>
      <c r="P6" s="218"/>
      <c r="Q6" s="22"/>
      <c r="R6" s="60" t="str">
        <f t="shared" ref="R6:R7" si="1">IF(D6="N", "",IF(M6="Y",L6,P6*O6))</f>
        <v/>
      </c>
      <c r="S6" s="3"/>
      <c r="T6" s="60" t="str">
        <f>IF(D6="N",'Electrification Upgrades'!T35,H6)</f>
        <v>Tank &lt; 50gal</v>
      </c>
      <c r="U6" s="60" t="str">
        <f>IF(D6="N",'Electrification Upgrades'!U35,I6)</f>
        <v>Electric - Heat Pump</v>
      </c>
      <c r="V6" s="60">
        <f>IF(D6="N",'Electrification Upgrades'!V35,R6)</f>
        <v>4500</v>
      </c>
      <c r="W6" s="3"/>
      <c r="X6" s="3"/>
      <c r="Z6" s="3"/>
      <c r="AA6" s="3"/>
      <c r="AB6" s="3"/>
      <c r="AC6" s="3"/>
      <c r="AD6" s="3"/>
      <c r="AE6" s="3"/>
      <c r="AF6" s="3"/>
    </row>
    <row r="7" spans="1:38" x14ac:dyDescent="0.25">
      <c r="B7" s="172" t="str">
        <f>'Existing Systems and Loads'!B28</f>
        <v>N</v>
      </c>
      <c r="C7" s="3"/>
      <c r="D7" s="223" t="s">
        <v>68</v>
      </c>
      <c r="E7" s="3"/>
      <c r="F7" t="s">
        <v>130</v>
      </c>
      <c r="H7" s="224"/>
      <c r="I7" s="224"/>
      <c r="J7" s="173" t="str">
        <f>IF(D7="N","",IF(OR(H7="",I7=""),"",IF(H7="Delete WH","",Reference3!$E$30)))</f>
        <v/>
      </c>
      <c r="K7" s="174" t="str">
        <f>IF(D7="Y",120, "")</f>
        <v/>
      </c>
      <c r="L7" s="175" t="str">
        <f t="shared" ref="L7" si="2">IF(D7="Y",J7,"")</f>
        <v/>
      </c>
      <c r="M7" s="226" t="s">
        <v>57</v>
      </c>
      <c r="O7" s="224"/>
      <c r="P7" s="224"/>
      <c r="Q7" s="22"/>
      <c r="R7" s="177" t="str">
        <f t="shared" si="1"/>
        <v/>
      </c>
      <c r="S7" s="3"/>
      <c r="T7" s="177" t="str">
        <f>IF(D7="N",'Electrification Upgrades'!T36,H7)</f>
        <v/>
      </c>
      <c r="U7" s="177" t="str">
        <f>IF(D7="N",'Electrification Upgrades'!U36,I7)</f>
        <v/>
      </c>
      <c r="V7" s="177" t="str">
        <f>IF(D7="N",'Electrification Upgrades'!V36,R7)</f>
        <v/>
      </c>
      <c r="W7" s="3"/>
      <c r="X7" s="3"/>
      <c r="Y7" s="27"/>
      <c r="Z7" s="3"/>
      <c r="AA7" s="3"/>
      <c r="AB7" s="3"/>
      <c r="AC7" s="3"/>
      <c r="AD7" s="3"/>
      <c r="AE7" s="3"/>
    </row>
    <row r="8" spans="1:38" s="5" customFormat="1" ht="15.75" thickBot="1" x14ac:dyDescent="0.3">
      <c r="B8" s="179"/>
      <c r="C8" s="193"/>
      <c r="D8" s="179"/>
      <c r="E8" s="193"/>
      <c r="H8" s="179"/>
      <c r="I8" s="179"/>
      <c r="J8" s="180"/>
      <c r="K8" s="181"/>
      <c r="L8" s="182"/>
      <c r="M8" s="179"/>
      <c r="O8" s="179"/>
      <c r="P8" s="179"/>
      <c r="R8" s="183"/>
      <c r="S8" s="193"/>
      <c r="T8" s="184" t="s">
        <v>164</v>
      </c>
      <c r="U8" s="183"/>
      <c r="V8" s="183"/>
      <c r="W8" s="193"/>
      <c r="X8" s="193"/>
      <c r="Y8" s="194"/>
      <c r="Z8" s="193"/>
      <c r="AA8" s="193"/>
      <c r="AB8" s="193"/>
      <c r="AC8" s="193"/>
      <c r="AD8" s="193"/>
      <c r="AE8" s="193"/>
    </row>
    <row r="9" spans="1:38" s="185" customFormat="1" ht="3.75" customHeight="1" x14ac:dyDescent="0.25">
      <c r="B9" s="186"/>
      <c r="C9" s="186"/>
      <c r="D9" s="186"/>
      <c r="E9" s="186"/>
      <c r="H9" s="186"/>
      <c r="I9" s="186"/>
      <c r="J9" s="187"/>
      <c r="K9" s="188"/>
      <c r="L9" s="189"/>
      <c r="M9" s="186"/>
      <c r="O9" s="186"/>
      <c r="P9" s="186"/>
      <c r="R9" s="190"/>
      <c r="S9" s="186"/>
      <c r="T9" s="191"/>
      <c r="U9" s="190"/>
      <c r="V9" s="190"/>
      <c r="W9" s="186"/>
      <c r="X9" s="186"/>
      <c r="Y9" s="191"/>
      <c r="Z9" s="186"/>
      <c r="AA9" s="186"/>
      <c r="AB9" s="186"/>
      <c r="AC9" s="186"/>
      <c r="AD9" s="186"/>
      <c r="AE9" s="186"/>
    </row>
    <row r="10" spans="1:38" ht="21" x14ac:dyDescent="0.35">
      <c r="A10" s="3"/>
      <c r="B10" s="208" t="s">
        <v>165</v>
      </c>
      <c r="M10" s="1"/>
    </row>
    <row r="11" spans="1:38" ht="96.75" customHeight="1" x14ac:dyDescent="0.25">
      <c r="A11" s="3"/>
      <c r="C11" s="47"/>
      <c r="D11" s="3"/>
    </row>
    <row r="12" spans="1:38" ht="30" x14ac:dyDescent="0.25">
      <c r="B12" s="4" t="s">
        <v>160</v>
      </c>
      <c r="C12" s="4"/>
      <c r="D12" s="4" t="s">
        <v>166</v>
      </c>
      <c r="E12" s="4"/>
      <c r="F12" t="s">
        <v>47</v>
      </c>
      <c r="H12" s="3" t="s">
        <v>48</v>
      </c>
      <c r="I12" s="4" t="s">
        <v>49</v>
      </c>
      <c r="J12" s="4" t="s">
        <v>50</v>
      </c>
      <c r="K12" s="114" t="s">
        <v>51</v>
      </c>
      <c r="L12" s="114" t="s">
        <v>162</v>
      </c>
      <c r="M12" s="43" t="s">
        <v>53</v>
      </c>
      <c r="O12" s="43" t="s">
        <v>54</v>
      </c>
      <c r="P12" s="43" t="s">
        <v>55</v>
      </c>
      <c r="Q12" s="3"/>
      <c r="R12" s="43" t="s">
        <v>56</v>
      </c>
      <c r="S12" s="4"/>
      <c r="T12" s="43" t="s">
        <v>48</v>
      </c>
      <c r="U12" s="43" t="s">
        <v>127</v>
      </c>
      <c r="V12" s="43" t="s">
        <v>56</v>
      </c>
      <c r="W12" s="4"/>
      <c r="X12" s="120"/>
      <c r="Z12" s="47"/>
      <c r="AA12" s="3"/>
      <c r="AB12" s="4"/>
      <c r="AC12" s="3"/>
      <c r="AD12" s="4"/>
      <c r="AE12" s="4"/>
      <c r="AF12" s="4"/>
      <c r="AH12" s="4"/>
      <c r="AI12" s="4"/>
      <c r="AJ12" s="3"/>
      <c r="AK12" s="4"/>
      <c r="AL12" s="4"/>
    </row>
    <row r="13" spans="1:38" x14ac:dyDescent="0.25">
      <c r="B13" s="17" t="str">
        <f>'Existing Systems and Loads'!B21</f>
        <v>Y</v>
      </c>
      <c r="C13" s="4"/>
      <c r="D13" s="4"/>
      <c r="E13" s="4"/>
      <c r="F13" t="s">
        <v>167</v>
      </c>
      <c r="H13" s="3"/>
      <c r="I13" s="42" t="s">
        <v>63</v>
      </c>
      <c r="J13" s="116">
        <f>IF(AND(D14="Y",LEFT(H14,5)="Combo"),"",'Electrification Upgrades'!V29)</f>
        <v>480</v>
      </c>
      <c r="K13" s="42">
        <f>IF(AND(D14="Y",LEFT(H14,5)="Combo"),"",120)</f>
        <v>120</v>
      </c>
      <c r="L13" s="42" t="str">
        <f>IF(D14="Y",J13,"")</f>
        <v/>
      </c>
      <c r="M13" s="220" t="s">
        <v>57</v>
      </c>
      <c r="O13" s="218"/>
      <c r="P13" s="227"/>
      <c r="Q13" s="3"/>
      <c r="R13" s="42" t="str">
        <f>IF(D14="N", "",IF(M13="Y",L13,P13*O13))</f>
        <v/>
      </c>
      <c r="S13" s="4"/>
      <c r="T13" s="60" t="str">
        <f>IF(D14="N",'Electrification Upgrades'!T29,IF(AND(D14="Y",LEFT(H14,5)="Combo"),"",'Electrification Upgrades'!T29))</f>
        <v>Side by Side Full size</v>
      </c>
      <c r="U13" s="60" t="str">
        <f>IF(D14="N",'Electrification Upgrades'!U29,IF(AND(D14="Y",LEFT(H14,5)="Combo"),"",'Electrification Upgrades'!U29))</f>
        <v>Electric</v>
      </c>
      <c r="V13" s="60">
        <f>IF(D14="N",'Electrification Upgrades'!V29,IF(AND(D14="Y",LEFT(H14,5)="Combo"),"",'Electrification Upgrades'!V29))</f>
        <v>480</v>
      </c>
      <c r="W13" s="4"/>
      <c r="X13" s="61"/>
      <c r="Z13" s="47"/>
      <c r="AA13" s="3"/>
      <c r="AB13" s="4"/>
      <c r="AC13" s="3"/>
      <c r="AD13" s="4"/>
      <c r="AE13" s="4"/>
      <c r="AF13" s="4"/>
      <c r="AH13" s="4"/>
      <c r="AI13" s="4"/>
      <c r="AJ13" s="3"/>
      <c r="AK13" s="4"/>
      <c r="AL13" s="4"/>
    </row>
    <row r="14" spans="1:38" x14ac:dyDescent="0.25">
      <c r="B14" s="176" t="str">
        <f>'Existing Systems and Loads'!B22</f>
        <v>Y</v>
      </c>
      <c r="C14" s="3"/>
      <c r="D14" s="223" t="s">
        <v>68</v>
      </c>
      <c r="E14" s="3"/>
      <c r="F14" t="s">
        <v>168</v>
      </c>
      <c r="H14" s="225" t="s">
        <v>169</v>
      </c>
      <c r="I14" s="224" t="s">
        <v>128</v>
      </c>
      <c r="J14" s="173" t="str">
        <f>IF(D14="Y",VLOOKUP(H14,Reference3!A17:E19,5,FALSE),"")</f>
        <v/>
      </c>
      <c r="K14" s="174" t="str">
        <f>IF(D14="Y",IF(LEFT(H14,4)="Side",240,120), "")</f>
        <v/>
      </c>
      <c r="L14" s="175" t="str">
        <f>IF(D14="Y",J14,"")</f>
        <v/>
      </c>
      <c r="M14" s="226" t="s">
        <v>57</v>
      </c>
      <c r="O14" s="224"/>
      <c r="P14" s="224"/>
      <c r="Q14" s="22"/>
      <c r="R14" s="177" t="str">
        <f t="shared" ref="R14" si="3">IF(D14="N", "",IF(M14="Y",L14,P14*O14))</f>
        <v/>
      </c>
      <c r="S14" s="3"/>
      <c r="T14" s="177" t="str">
        <f>IF($D14="N",'Electrification Upgrades'!T30,H14)</f>
        <v>Side by Side Full size</v>
      </c>
      <c r="U14" s="177" t="str">
        <f>IF($D14="N",'Electrification Upgrades'!U30,I14)</f>
        <v>Electric - Heat Pump</v>
      </c>
      <c r="V14" s="177">
        <f>IF($D14="N",'Electrification Upgrades'!V30,R14)</f>
        <v>4000</v>
      </c>
      <c r="W14" s="3"/>
      <c r="X14" s="61"/>
      <c r="Y14" s="27"/>
      <c r="Z14" s="3"/>
      <c r="AA14" s="3"/>
      <c r="AB14" s="3"/>
      <c r="AC14" s="3"/>
      <c r="AD14" s="3"/>
      <c r="AE14" s="3"/>
      <c r="AF14" s="3"/>
    </row>
    <row r="15" spans="1:38" s="5" customFormat="1" ht="15.75" thickBot="1" x14ac:dyDescent="0.3">
      <c r="A15" s="193"/>
      <c r="B15" s="178"/>
      <c r="D15" s="178"/>
      <c r="H15" s="178"/>
      <c r="I15" s="178"/>
      <c r="J15" s="178"/>
      <c r="K15" s="178"/>
      <c r="L15" s="178"/>
      <c r="M15" s="178"/>
      <c r="O15" s="178"/>
      <c r="P15" s="178"/>
      <c r="R15" s="178"/>
      <c r="T15" s="184" t="s">
        <v>164</v>
      </c>
      <c r="U15" s="178"/>
      <c r="V15" s="178"/>
    </row>
    <row r="16" spans="1:38" s="185" customFormat="1" ht="3.75" customHeight="1" x14ac:dyDescent="0.25">
      <c r="A16" s="186"/>
      <c r="T16" s="191"/>
    </row>
    <row r="17" spans="1:32" x14ac:dyDescent="0.25">
      <c r="A17" s="3"/>
    </row>
    <row r="18" spans="1:32" ht="21" x14ac:dyDescent="0.35">
      <c r="A18" s="3"/>
      <c r="B18" s="208" t="s">
        <v>170</v>
      </c>
      <c r="M18" s="1"/>
    </row>
    <row r="19" spans="1:32" ht="21" x14ac:dyDescent="0.35">
      <c r="A19" s="3"/>
      <c r="B19" s="208" t="s">
        <v>171</v>
      </c>
      <c r="M19" s="1"/>
    </row>
    <row r="20" spans="1:32" ht="66.75" customHeight="1" x14ac:dyDescent="0.25">
      <c r="A20" s="3"/>
      <c r="M20" s="1"/>
    </row>
    <row r="21" spans="1:32" ht="45" x14ac:dyDescent="0.25">
      <c r="A21" s="3"/>
      <c r="B21" s="4" t="s">
        <v>160</v>
      </c>
      <c r="D21" s="4" t="s">
        <v>172</v>
      </c>
      <c r="H21" s="3" t="s">
        <v>48</v>
      </c>
      <c r="I21" s="4" t="s">
        <v>49</v>
      </c>
      <c r="J21" s="4" t="s">
        <v>50</v>
      </c>
      <c r="K21" s="114" t="s">
        <v>51</v>
      </c>
      <c r="L21" s="114" t="s">
        <v>162</v>
      </c>
      <c r="M21" s="43" t="s">
        <v>53</v>
      </c>
      <c r="O21" s="43" t="s">
        <v>54</v>
      </c>
      <c r="P21" s="43" t="s">
        <v>55</v>
      </c>
      <c r="Q21" s="3"/>
      <c r="R21" s="43" t="s">
        <v>56</v>
      </c>
      <c r="S21" s="4"/>
      <c r="T21" s="43" t="s">
        <v>48</v>
      </c>
      <c r="U21" s="43" t="s">
        <v>127</v>
      </c>
      <c r="V21" s="43" t="s">
        <v>56</v>
      </c>
    </row>
    <row r="22" spans="1:32" x14ac:dyDescent="0.25">
      <c r="B22" s="17" t="str">
        <f>'Existing Systems and Loads'!B23</f>
        <v>Y</v>
      </c>
      <c r="C22" s="3"/>
      <c r="D22" s="222" t="s">
        <v>68</v>
      </c>
      <c r="E22" s="3"/>
      <c r="F22" t="s">
        <v>76</v>
      </c>
      <c r="H22" s="218" t="s">
        <v>173</v>
      </c>
      <c r="I22" s="218" t="s">
        <v>129</v>
      </c>
      <c r="J22" s="66" t="str">
        <f>IF(D22="Y",VLOOKUP(H22,Reference3!$A$24:$E$25,5,FALSE),"")</f>
        <v/>
      </c>
      <c r="K22" s="62" t="str">
        <f>IF(D22="Y", IF(AND(D22="Y", LEFT(H22,3)="Ind"),240,120),"")</f>
        <v/>
      </c>
      <c r="L22" s="63" t="str">
        <f t="shared" ref="L22:L25" si="4">IF(D22="Y",J22,"")</f>
        <v/>
      </c>
      <c r="M22" s="220" t="s">
        <v>57</v>
      </c>
      <c r="O22" s="218"/>
      <c r="P22" s="218"/>
      <c r="Q22" s="22"/>
      <c r="R22" s="60" t="str">
        <f t="shared" ref="R22" si="5">IF(D22="N", "",IF(M22="Y",L22,P22*O22))</f>
        <v/>
      </c>
      <c r="S22" s="3"/>
      <c r="T22" s="60" t="str">
        <f>IF($D$22="N",'Electrification Upgrades'!T31,H22)</f>
        <v>30" CT/Oven</v>
      </c>
      <c r="U22" s="60" t="str">
        <f>IF($D$22="N",'Electrification Upgrades'!U31,I22)</f>
        <v>Electric - Induction</v>
      </c>
      <c r="V22" s="60">
        <f>IF($D$22="N",'Electrification Upgrades'!V31,R22)</f>
        <v>4800</v>
      </c>
      <c r="W22" s="3"/>
      <c r="X22" s="61"/>
      <c r="Y22" s="27"/>
      <c r="Z22" s="3"/>
      <c r="AA22" s="3"/>
      <c r="AB22" s="3"/>
      <c r="AC22" s="3"/>
      <c r="AD22" s="3"/>
      <c r="AE22" s="3"/>
      <c r="AF22" s="3"/>
    </row>
    <row r="23" spans="1:32" x14ac:dyDescent="0.25">
      <c r="B23" s="17" t="str">
        <f>'Existing Systems and Loads'!B24</f>
        <v>N</v>
      </c>
      <c r="C23" s="3"/>
      <c r="D23" s="26"/>
      <c r="E23" s="3"/>
      <c r="F23" s="10" t="s">
        <v>79</v>
      </c>
      <c r="H23" s="26"/>
      <c r="I23" s="26"/>
      <c r="J23" s="118" t="str">
        <f>IF(D23="Y",Reference2!M34,"")</f>
        <v/>
      </c>
      <c r="K23" s="77" t="str">
        <f t="shared" ref="K23:K25" si="6">IF(D23="Y",240, "")</f>
        <v/>
      </c>
      <c r="L23" s="78" t="str">
        <f t="shared" si="4"/>
        <v/>
      </c>
      <c r="M23" s="26"/>
      <c r="O23" s="26"/>
      <c r="P23" s="26"/>
      <c r="R23" s="79"/>
      <c r="S23" s="3"/>
      <c r="T23" s="60" t="str">
        <f>IF($D$22="N",'Electrification Upgrades'!T32,"")</f>
        <v/>
      </c>
      <c r="U23" s="60" t="str">
        <f>IF($D$22="N",'Electrification Upgrades'!U32,"")</f>
        <v/>
      </c>
      <c r="V23" s="60" t="str">
        <f>IF(D22="N",'Electrification Upgrades'!V32,"")</f>
        <v/>
      </c>
      <c r="W23" s="3"/>
      <c r="X23" s="61"/>
      <c r="Y23" s="27"/>
      <c r="Z23" s="3"/>
      <c r="AA23" s="3"/>
      <c r="AB23" s="3"/>
      <c r="AC23" s="3"/>
      <c r="AD23" s="3"/>
      <c r="AE23" s="3"/>
      <c r="AF23" s="3"/>
    </row>
    <row r="24" spans="1:32" x14ac:dyDescent="0.25">
      <c r="B24" s="17" t="str">
        <f>'Existing Systems and Loads'!B25</f>
        <v>N</v>
      </c>
      <c r="C24" s="3"/>
      <c r="D24" s="3"/>
      <c r="E24" s="3"/>
      <c r="F24" s="10" t="s">
        <v>81</v>
      </c>
      <c r="H24" s="3"/>
      <c r="I24" s="3"/>
      <c r="J24" s="90" t="str">
        <f>IF(D24="Y",Reference2!S34,"")</f>
        <v/>
      </c>
      <c r="K24" s="65" t="str">
        <f t="shared" si="6"/>
        <v/>
      </c>
      <c r="L24" s="80" t="str">
        <f t="shared" si="4"/>
        <v/>
      </c>
      <c r="M24" s="3"/>
      <c r="O24" s="3"/>
      <c r="P24" s="3"/>
      <c r="R24" s="61"/>
      <c r="S24" s="3"/>
      <c r="T24" s="60" t="str">
        <f>IF($D$22="N",'Electrification Upgrades'!T33,"")</f>
        <v/>
      </c>
      <c r="U24" s="60" t="str">
        <f>IF($D$22="N",'Electrification Upgrades'!U33,"")</f>
        <v/>
      </c>
      <c r="V24" s="60" t="str">
        <f>IF(D23="N",'Electrification Upgrades'!V33,"")</f>
        <v/>
      </c>
      <c r="W24" s="3"/>
      <c r="X24" s="61"/>
      <c r="Y24" s="27"/>
      <c r="Z24" s="3"/>
      <c r="AA24" s="3"/>
      <c r="AB24" s="3"/>
      <c r="AC24" s="3"/>
      <c r="AD24" s="3"/>
      <c r="AE24" s="3"/>
      <c r="AF24" s="3"/>
    </row>
    <row r="25" spans="1:32" x14ac:dyDescent="0.25">
      <c r="B25" s="17" t="str">
        <f>'Existing Systems and Loads'!B26</f>
        <v>N</v>
      </c>
      <c r="C25" s="3"/>
      <c r="D25" s="3"/>
      <c r="E25" s="3"/>
      <c r="F25" s="10" t="s">
        <v>82</v>
      </c>
      <c r="H25" s="3"/>
      <c r="I25" s="3"/>
      <c r="J25" s="90" t="str">
        <f>IF(D25="Y",IF(I25="Electric Resistance",Reference2!Y34,Reference2!AA34),"")</f>
        <v/>
      </c>
      <c r="K25" s="65" t="str">
        <f t="shared" si="6"/>
        <v/>
      </c>
      <c r="L25" s="80" t="str">
        <f t="shared" si="4"/>
        <v/>
      </c>
      <c r="M25" s="3"/>
      <c r="O25" s="3"/>
      <c r="P25" s="3"/>
      <c r="R25" s="61"/>
      <c r="S25" s="3"/>
      <c r="T25" s="60" t="str">
        <f>IF($D$22="N",'Electrification Upgrades'!T34,"")</f>
        <v/>
      </c>
      <c r="U25" s="60" t="str">
        <f>IF($D$22="N",'Electrification Upgrades'!U34,"")</f>
        <v/>
      </c>
      <c r="V25" s="60" t="str">
        <f>IF(D24="N",'Electrification Upgrades'!V34,"")</f>
        <v/>
      </c>
      <c r="W25" s="3"/>
      <c r="X25" s="61"/>
      <c r="Y25" s="27"/>
      <c r="Z25" s="3"/>
      <c r="AA25" s="3"/>
      <c r="AB25" s="3"/>
      <c r="AC25" s="3"/>
      <c r="AD25" s="3"/>
      <c r="AE25" s="3"/>
      <c r="AF25" s="3"/>
    </row>
    <row r="26" spans="1:32" s="5" customFormat="1" ht="15.75" thickBot="1" x14ac:dyDescent="0.3">
      <c r="A26" s="193"/>
      <c r="T26" s="194" t="s">
        <v>164</v>
      </c>
    </row>
    <row r="27" spans="1:32" s="185" customFormat="1" ht="3.75" customHeight="1" x14ac:dyDescent="0.25">
      <c r="A27" s="186"/>
      <c r="T27" s="191"/>
    </row>
    <row r="28" spans="1:32" ht="15" customHeight="1" x14ac:dyDescent="0.25">
      <c r="A28" s="3"/>
      <c r="T28" s="27"/>
    </row>
    <row r="29" spans="1:32" ht="21" x14ac:dyDescent="0.35">
      <c r="A29" s="3"/>
      <c r="B29" s="208" t="s">
        <v>174</v>
      </c>
      <c r="M29" s="1"/>
    </row>
    <row r="30" spans="1:32" ht="21" x14ac:dyDescent="0.35">
      <c r="A30" s="3"/>
      <c r="B30" s="208" t="s">
        <v>175</v>
      </c>
      <c r="M30" s="1"/>
    </row>
    <row r="31" spans="1:32" ht="45" customHeight="1" x14ac:dyDescent="0.3">
      <c r="A31" s="3"/>
      <c r="B31" s="52"/>
      <c r="M31" s="1"/>
    </row>
    <row r="32" spans="1:32" ht="30" x14ac:dyDescent="0.25">
      <c r="B32" s="4" t="s">
        <v>160</v>
      </c>
      <c r="D32" s="4" t="s">
        <v>176</v>
      </c>
      <c r="H32" s="3" t="s">
        <v>48</v>
      </c>
      <c r="I32" s="4" t="s">
        <v>49</v>
      </c>
      <c r="J32" s="4" t="s">
        <v>50</v>
      </c>
      <c r="K32" s="114" t="s">
        <v>51</v>
      </c>
      <c r="L32" s="114" t="s">
        <v>162</v>
      </c>
      <c r="M32" s="43" t="s">
        <v>53</v>
      </c>
      <c r="O32" s="43" t="s">
        <v>54</v>
      </c>
      <c r="P32" s="43" t="s">
        <v>55</v>
      </c>
      <c r="Q32" s="3"/>
      <c r="R32" s="43" t="s">
        <v>56</v>
      </c>
      <c r="S32" s="4"/>
      <c r="T32" s="43" t="s">
        <v>48</v>
      </c>
      <c r="U32" s="43" t="s">
        <v>127</v>
      </c>
      <c r="V32" s="43" t="s">
        <v>56</v>
      </c>
    </row>
    <row r="33" spans="2:32" x14ac:dyDescent="0.25">
      <c r="B33" s="17" t="str">
        <f>'Electrification Upgrades'!D37</f>
        <v>Y</v>
      </c>
      <c r="C33" s="3"/>
      <c r="D33" s="218" t="s">
        <v>68</v>
      </c>
      <c r="E33" s="3"/>
      <c r="F33" t="s">
        <v>87</v>
      </c>
      <c r="H33" s="218" t="s">
        <v>88</v>
      </c>
      <c r="I33" s="14" t="s">
        <v>63</v>
      </c>
      <c r="J33" s="66" t="str">
        <f>IF(B33="N","",IF(D33="Y",VLOOKUP(H33,Reference3!A37:C40,3),""))</f>
        <v/>
      </c>
      <c r="K33" s="62" t="str">
        <f>IF(B33="N","",IF(D33="Y",IF(LEFT(H33,2)="16",120,240), ""))</f>
        <v/>
      </c>
      <c r="L33" s="63" t="str">
        <f t="shared" ref="L33" si="7">IF(D33="Y",J33,"")</f>
        <v/>
      </c>
      <c r="M33" s="220" t="s">
        <v>57</v>
      </c>
      <c r="O33" s="218"/>
      <c r="P33" s="218"/>
      <c r="Q33" s="22"/>
      <c r="R33" s="60" t="str">
        <f t="shared" ref="R33" si="8">IF(D33="N", "",IF(M33="Y",L33,P33*O33))</f>
        <v/>
      </c>
      <c r="S33" s="3"/>
      <c r="T33" s="60" t="str">
        <f>IF(D33="N",'Electrification Upgrades'!T37,H33)</f>
        <v>50 Amp</v>
      </c>
      <c r="U33" s="60" t="str">
        <f>IF(D33="N",'Electrification Upgrades'!U37,I33)</f>
        <v>Electric</v>
      </c>
      <c r="V33" s="60">
        <f>IF(B33="N",0,IF(D33="N",'Electrification Upgrades'!V37,R33))</f>
        <v>12000</v>
      </c>
      <c r="W33" s="27" t="s">
        <v>89</v>
      </c>
      <c r="X33" s="61"/>
      <c r="Z33" s="3"/>
      <c r="AA33" s="3"/>
      <c r="AB33" s="3"/>
      <c r="AC33" s="3"/>
      <c r="AD33" s="3"/>
      <c r="AE33" s="3"/>
      <c r="AF33" s="3"/>
    </row>
    <row r="34" spans="2:32" ht="18.75" x14ac:dyDescent="0.3">
      <c r="B34" s="3"/>
      <c r="D34" s="52"/>
      <c r="T34" s="27" t="s">
        <v>164</v>
      </c>
    </row>
    <row r="35" spans="2:32" ht="18.75" x14ac:dyDescent="0.3">
      <c r="B35" s="3"/>
      <c r="D35" s="52"/>
    </row>
    <row r="36" spans="2:32" ht="18.75" x14ac:dyDescent="0.3">
      <c r="B36" s="3"/>
      <c r="D36" s="52"/>
    </row>
    <row r="37" spans="2:32" ht="18.75" x14ac:dyDescent="0.3">
      <c r="B37" s="3"/>
      <c r="D37" s="52"/>
    </row>
    <row r="38" spans="2:32" ht="18.75" x14ac:dyDescent="0.3">
      <c r="D38" s="52"/>
    </row>
    <row r="39" spans="2:32" ht="18.75" x14ac:dyDescent="0.3">
      <c r="B39" s="3"/>
      <c r="D39" s="52"/>
      <c r="E39" s="3"/>
      <c r="F39" s="3"/>
    </row>
    <row r="41" spans="2:32" ht="18.75" x14ac:dyDescent="0.3">
      <c r="D41" s="52"/>
    </row>
    <row r="42" spans="2:32" x14ac:dyDescent="0.25">
      <c r="E42" s="47"/>
      <c r="F42" s="3"/>
    </row>
    <row r="43" spans="2:32" x14ac:dyDescent="0.25">
      <c r="E43" s="3"/>
      <c r="F43" s="3"/>
    </row>
    <row r="45" spans="2:32" ht="18.75" x14ac:dyDescent="0.3">
      <c r="D45" s="52"/>
    </row>
    <row r="46" spans="2:32" x14ac:dyDescent="0.25">
      <c r="E46" s="47"/>
      <c r="F46" s="3"/>
    </row>
    <row r="47" spans="2:32" x14ac:dyDescent="0.25">
      <c r="E47" s="3"/>
      <c r="F47" s="3"/>
    </row>
    <row r="49" spans="4:6" ht="18.75" x14ac:dyDescent="0.3">
      <c r="D49" s="52"/>
    </row>
    <row r="50" spans="4:6" x14ac:dyDescent="0.25">
      <c r="E50" s="47"/>
      <c r="F50" s="3"/>
    </row>
    <row r="51" spans="4:6" x14ac:dyDescent="0.25">
      <c r="E51" s="3"/>
      <c r="F51" s="3"/>
    </row>
    <row r="53" spans="4:6" ht="18.75" x14ac:dyDescent="0.3">
      <c r="D53" s="52"/>
    </row>
    <row r="54" spans="4:6" x14ac:dyDescent="0.25">
      <c r="E54" s="47"/>
      <c r="F54" s="3"/>
    </row>
    <row r="55" spans="4:6" x14ac:dyDescent="0.25">
      <c r="E55" s="3"/>
      <c r="F55" s="3"/>
    </row>
  </sheetData>
  <sheetProtection algorithmName="SHA-512" hashValue="8/g8wofiyLa2oc/biPYDqffMtx9Nvu1lldgSmq0i8/KglR+9yGrMofJZNgQSib1sVd0aFzCwLh5JflBgpk6sYA==" saltValue="Hj94zHAU3+M3+US8XDC6Zw==" spinCount="100000" sheet="1" objects="1" scenarios="1" selectLockedCells="1"/>
  <conditionalFormatting sqref="B6:B7 B13:B14 B22:B25 B33">
    <cfRule type="expression" dxfId="170" priority="61" stopIfTrue="1">
      <formula>B6="N"</formula>
    </cfRule>
  </conditionalFormatting>
  <conditionalFormatting sqref="B22:B25">
    <cfRule type="expression" dxfId="169" priority="5" stopIfTrue="1">
      <formula>B22="Y"</formula>
    </cfRule>
    <cfRule type="expression" dxfId="168" priority="6" stopIfTrue="1">
      <formula>B22="N"</formula>
    </cfRule>
  </conditionalFormatting>
  <conditionalFormatting sqref="B33 B22:B25 B6:B7 B13:B14">
    <cfRule type="expression" dxfId="167" priority="60" stopIfTrue="1">
      <formula>B6="Y"</formula>
    </cfRule>
  </conditionalFormatting>
  <conditionalFormatting sqref="B33">
    <cfRule type="expression" dxfId="166" priority="18" stopIfTrue="1">
      <formula>B33="Y"</formula>
    </cfRule>
    <cfRule type="expression" dxfId="165" priority="19" stopIfTrue="1">
      <formula>B33="N"</formula>
    </cfRule>
  </conditionalFormatting>
  <conditionalFormatting sqref="D6:D7 D14 D22 D33">
    <cfRule type="expression" dxfId="164" priority="1">
      <formula>AND($B6="Y",$D6="Y")</formula>
    </cfRule>
    <cfRule type="expression" dxfId="163" priority="2">
      <formula>$B6="N"</formula>
    </cfRule>
  </conditionalFormatting>
  <conditionalFormatting sqref="D6:D7 D14 D33">
    <cfRule type="expression" dxfId="162" priority="16">
      <formula>$D6="N"</formula>
    </cfRule>
  </conditionalFormatting>
  <conditionalFormatting sqref="D6:D9">
    <cfRule type="expression" dxfId="161" priority="72" stopIfTrue="1">
      <formula>$D6="Y"</formula>
    </cfRule>
    <cfRule type="expression" dxfId="160" priority="73">
      <formula>$D6="N"</formula>
    </cfRule>
  </conditionalFormatting>
  <conditionalFormatting sqref="D14">
    <cfRule type="expression" dxfId="159" priority="59">
      <formula>$D14="N"</formula>
    </cfRule>
    <cfRule type="expression" dxfId="158" priority="58" stopIfTrue="1">
      <formula>$D14="Y"</formula>
    </cfRule>
  </conditionalFormatting>
  <conditionalFormatting sqref="D22:D25">
    <cfRule type="expression" dxfId="157" priority="3" stopIfTrue="1">
      <formula>$D22="Y"</formula>
    </cfRule>
    <cfRule type="expression" dxfId="156" priority="4">
      <formula>$D22="N"</formula>
    </cfRule>
  </conditionalFormatting>
  <conditionalFormatting sqref="H6:H7 M6:M7 M13:M14 H14 H22 M22 H33 M33">
    <cfRule type="expression" dxfId="155" priority="24" stopIfTrue="1">
      <formula>AND($D6="Y",$B6="Y")</formula>
    </cfRule>
    <cfRule type="expression" dxfId="154" priority="25">
      <formula>OR($D6="N",$B6="N")</formula>
    </cfRule>
  </conditionalFormatting>
  <conditionalFormatting sqref="H22 M22 H6:H7 M6:M7 M13:M14 H14 H33 M33">
    <cfRule type="expression" dxfId="153" priority="23">
      <formula>AND(ISBLANK(H6),$D6="Y",$B6="Y")</formula>
    </cfRule>
  </conditionalFormatting>
  <conditionalFormatting sqref="H6:I7 H8:H9">
    <cfRule type="expression" dxfId="152" priority="79">
      <formula>AND(ISBLANK(H6),$D6="Y")</formula>
    </cfRule>
  </conditionalFormatting>
  <conditionalFormatting sqref="H6:I7 M6:M9 H8:H9">
    <cfRule type="expression" dxfId="151" priority="81">
      <formula>$D6="N"</formula>
    </cfRule>
  </conditionalFormatting>
  <conditionalFormatting sqref="H6:I9 M6:M9">
    <cfRule type="expression" dxfId="150" priority="80" stopIfTrue="1">
      <formula>$D6="Y"</formula>
    </cfRule>
  </conditionalFormatting>
  <conditionalFormatting sqref="H14:I14 M13:M14">
    <cfRule type="expression" dxfId="149" priority="66" stopIfTrue="1">
      <formula>$D$14="y"</formula>
    </cfRule>
  </conditionalFormatting>
  <conditionalFormatting sqref="H14:I14">
    <cfRule type="expression" dxfId="148" priority="65">
      <formula>AND(ISBLANK(H14),$D14="Y")</formula>
    </cfRule>
  </conditionalFormatting>
  <conditionalFormatting sqref="H22:I22 M22">
    <cfRule type="expression" dxfId="147" priority="11" stopIfTrue="1">
      <formula>$D22="Y"</formula>
    </cfRule>
    <cfRule type="expression" dxfId="146" priority="12">
      <formula>$D22="N"</formula>
    </cfRule>
  </conditionalFormatting>
  <conditionalFormatting sqref="H22:I22">
    <cfRule type="expression" dxfId="145" priority="10">
      <formula>AND(ISBLANK(H22),$D22="Y")</formula>
    </cfRule>
  </conditionalFormatting>
  <conditionalFormatting sqref="I6:I9">
    <cfRule type="expression" dxfId="144" priority="71">
      <formula>AND(LEFT($H$6,5)="Tankl",$I6="Electric - Heat Pump")</formula>
    </cfRule>
  </conditionalFormatting>
  <conditionalFormatting sqref="J6:L9">
    <cfRule type="expression" dxfId="143" priority="77">
      <formula>ISERROR(J6)</formula>
    </cfRule>
  </conditionalFormatting>
  <conditionalFormatting sqref="J14:L14">
    <cfRule type="expression" dxfId="142" priority="63">
      <formula>ISERROR(J14)</formula>
    </cfRule>
  </conditionalFormatting>
  <conditionalFormatting sqref="J22:L22">
    <cfRule type="expression" dxfId="141" priority="8">
      <formula>ISERROR(J22)</formula>
    </cfRule>
  </conditionalFormatting>
  <conditionalFormatting sqref="J33:L33">
    <cfRule type="expression" dxfId="140" priority="21">
      <formula>ISERROR(J33)</formula>
    </cfRule>
  </conditionalFormatting>
  <conditionalFormatting sqref="M13:M14 H14:I14">
    <cfRule type="expression" dxfId="139" priority="67">
      <formula>$D$14="N"</formula>
    </cfRule>
  </conditionalFormatting>
  <conditionalFormatting sqref="O13">
    <cfRule type="expression" dxfId="138" priority="30">
      <formula>AND(ISBLANK(O13),$M13="N")</formula>
    </cfRule>
    <cfRule type="expression" dxfId="137" priority="29">
      <formula>$M13="Y"</formula>
    </cfRule>
    <cfRule type="expression" dxfId="136" priority="31">
      <formula>$M13="N"</formula>
    </cfRule>
  </conditionalFormatting>
  <conditionalFormatting sqref="O6:P9">
    <cfRule type="expression" dxfId="135" priority="84">
      <formula>$M6="N"</formula>
    </cfRule>
    <cfRule type="expression" dxfId="134" priority="82">
      <formula>$M6="Y"</formula>
    </cfRule>
    <cfRule type="expression" dxfId="133" priority="83">
      <formula>AND(ISBLANK(O6),$M6="N")</formula>
    </cfRule>
  </conditionalFormatting>
  <conditionalFormatting sqref="O14:P14">
    <cfRule type="expression" dxfId="132" priority="68">
      <formula>$M14="Y"</formula>
    </cfRule>
    <cfRule type="expression" dxfId="131" priority="69">
      <formula>AND(ISBLANK(O14),$M14="N")</formula>
    </cfRule>
    <cfRule type="expression" dxfId="130" priority="70">
      <formula>$M14="N"</formula>
    </cfRule>
  </conditionalFormatting>
  <conditionalFormatting sqref="O22:P22">
    <cfRule type="expression" dxfId="129" priority="15">
      <formula>$M22="N"</formula>
    </cfRule>
    <cfRule type="expression" dxfId="128" priority="14">
      <formula>AND(ISBLANK(O22),$M22="N")</formula>
    </cfRule>
    <cfRule type="expression" dxfId="127" priority="13">
      <formula>$M22="Y"</formula>
    </cfRule>
  </conditionalFormatting>
  <conditionalFormatting sqref="O33:P33">
    <cfRule type="expression" dxfId="126" priority="26">
      <formula>$M33="Y"</formula>
    </cfRule>
    <cfRule type="expression" dxfId="125" priority="28">
      <formula>$M33="N"</formula>
    </cfRule>
    <cfRule type="expression" dxfId="124" priority="27">
      <formula>AND(ISBLANK(O33),$M33="N")</formula>
    </cfRule>
  </conditionalFormatting>
  <conditionalFormatting sqref="R6">
    <cfRule type="expression" dxfId="123" priority="76" stopIfTrue="1">
      <formula>$R6=0</formula>
    </cfRule>
  </conditionalFormatting>
  <conditionalFormatting sqref="R6:R9">
    <cfRule type="expression" dxfId="122" priority="78">
      <formula>ISERROR($R6)</formula>
    </cfRule>
  </conditionalFormatting>
  <conditionalFormatting sqref="R14">
    <cfRule type="expression" dxfId="121" priority="62" stopIfTrue="1">
      <formula>$R14=0</formula>
    </cfRule>
    <cfRule type="expression" dxfId="120" priority="64">
      <formula>ISERROR($R14)</formula>
    </cfRule>
  </conditionalFormatting>
  <conditionalFormatting sqref="R22">
    <cfRule type="expression" dxfId="119" priority="7" stopIfTrue="1">
      <formula>$R22=0</formula>
    </cfRule>
    <cfRule type="expression" dxfId="118" priority="9">
      <formula>ISERROR($R22)</formula>
    </cfRule>
  </conditionalFormatting>
  <conditionalFormatting sqref="R33">
    <cfRule type="expression" dxfId="117" priority="22">
      <formula>ISERROR($R33)</formula>
    </cfRule>
    <cfRule type="expression" dxfId="116" priority="20" stopIfTrue="1">
      <formula>$R33=0</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6">
        <x14:dataValidation type="list" allowBlank="1" showInputMessage="1" showErrorMessage="1" xr:uid="{5E412EAD-DB26-4D56-A8ED-723CA66BE366}">
          <x14:formula1>
            <xm:f>Reference!$A$26:$A$28</xm:f>
          </x14:formula1>
          <xm:sqref>F55 F51 F47 F43</xm:sqref>
        </x14:dataValidation>
        <x14:dataValidation type="list" allowBlank="1" showInputMessage="1" showErrorMessage="1" xr:uid="{DF6F6BC6-392F-497E-AB0B-ED364403FFD0}">
          <x14:formula1>
            <xm:f>Reference!$C$62:$C$63</xm:f>
          </x14:formula1>
          <xm:sqref>O6:O9 O13:O14 O33 O22</xm:sqref>
        </x14:dataValidation>
        <x14:dataValidation type="list" allowBlank="1" showInputMessage="1" showErrorMessage="1" xr:uid="{3F0510AF-96FF-49FB-BD71-2BAF559C7E7D}">
          <x14:formula1>
            <xm:f>Reference!$G$16:$G$17</xm:f>
          </x14:formula1>
          <xm:sqref>O7:O9</xm:sqref>
        </x14:dataValidation>
        <x14:dataValidation type="list" allowBlank="1" showInputMessage="1" showErrorMessage="1" xr:uid="{D2BBF3B4-1736-430F-A743-A5BA5C5B54F1}">
          <x14:formula1>
            <xm:f>Reference2!$C$30:$C$32</xm:f>
          </x14:formula1>
          <xm:sqref>I8:I9</xm:sqref>
        </x14:dataValidation>
        <x14:dataValidation type="list" allowBlank="1" showInputMessage="1" showErrorMessage="1" xr:uid="{DC903C1F-7FDF-4584-A2E0-09CC72E7BEF3}">
          <x14:formula1>
            <xm:f>Reference!$A$16:$A$17</xm:f>
          </x14:formula1>
          <xm:sqref>C6:E9 M6:M9 C14:E14 M13:M14 M33 C33:E33 D22 C22:C25 E22:E25 M22</xm:sqref>
        </x14:dataValidation>
        <x14:dataValidation type="list" allowBlank="1" showInputMessage="1" showErrorMessage="1" xr:uid="{9513C5EE-7C98-4C27-AE5E-6EA50FC445F3}">
          <x14:formula1>
            <xm:f>Reference!$C$49:$C$52</xm:f>
          </x14:formula1>
          <xm:sqref>AB6:AB9 AB33</xm:sqref>
        </x14:dataValidation>
        <x14:dataValidation type="list" allowBlank="1" showInputMessage="1" showErrorMessage="1" xr:uid="{A4AD4547-D1BE-43A5-86E3-891326E61777}">
          <x14:formula1>
            <xm:f>Reference2!$A$30:$A$34</xm:f>
          </x14:formula1>
          <xm:sqref>H8:H9</xm:sqref>
        </x14:dataValidation>
        <x14:dataValidation type="list" allowBlank="1" showInputMessage="1" showErrorMessage="1" xr:uid="{4562F613-66BA-4462-8451-38C6A6A98259}">
          <x14:formula1>
            <xm:f>Reference3!$A$30:$A$31</xm:f>
          </x14:formula1>
          <xm:sqref>H6:H7</xm:sqref>
        </x14:dataValidation>
        <x14:dataValidation type="list" allowBlank="1" showInputMessage="1" showErrorMessage="1" xr:uid="{8A1101E0-6C97-4EB3-90FD-C41168CD235B}">
          <x14:formula1>
            <xm:f>Reference3!$C$30:$C$31</xm:f>
          </x14:formula1>
          <xm:sqref>I6:I7</xm:sqref>
        </x14:dataValidation>
        <x14:dataValidation type="list" allowBlank="1" showInputMessage="1" showErrorMessage="1" xr:uid="{A473B4C7-2245-4B33-B159-2860AE1EF0FE}">
          <x14:formula1>
            <xm:f>Reference!$G$36:$G$38</xm:f>
          </x14:formula1>
          <xm:sqref>AB14</xm:sqref>
        </x14:dataValidation>
        <x14:dataValidation type="list" allowBlank="1" showInputMessage="1" showErrorMessage="1" xr:uid="{D18A8820-21EF-4CFC-B6D0-99B890C7F3A8}">
          <x14:formula1>
            <xm:f>Reference3!$C$17</xm:f>
          </x14:formula1>
          <xm:sqref>I14</xm:sqref>
        </x14:dataValidation>
        <x14:dataValidation type="list" allowBlank="1" showInputMessage="1" showErrorMessage="1" xr:uid="{140A9FF9-B19B-4B73-AA95-6309AC9AB3EF}">
          <x14:formula1>
            <xm:f>Reference3!$A$17:$A$19</xm:f>
          </x14:formula1>
          <xm:sqref>H14</xm:sqref>
        </x14:dataValidation>
        <x14:dataValidation type="list" allowBlank="1" showInputMessage="1" showErrorMessage="1" xr:uid="{D3E9BA82-56EA-4B9A-A92A-566FECD2041F}">
          <x14:formula1>
            <xm:f>Reference3!$A$37:$A$40</xm:f>
          </x14:formula1>
          <xm:sqref>H33</xm:sqref>
        </x14:dataValidation>
        <x14:dataValidation type="list" allowBlank="1" showInputMessage="1" showErrorMessage="1" xr:uid="{354B70AE-2E0C-48FE-B4A6-64E86CD82D53}">
          <x14:formula1>
            <xm:f>Reference3!$C$24</xm:f>
          </x14:formula1>
          <xm:sqref>I22</xm:sqref>
        </x14:dataValidation>
        <x14:dataValidation type="list" allowBlank="1" showInputMessage="1" showErrorMessage="1" xr:uid="{1608E3DE-352A-43B9-9801-D2C9A7AA3561}">
          <x14:formula1>
            <xm:f>Reference!$C$43:$C$46</xm:f>
          </x14:formula1>
          <xm:sqref>AB22:AB25</xm:sqref>
        </x14:dataValidation>
        <x14:dataValidation type="list" allowBlank="1" showInputMessage="1" showErrorMessage="1" xr:uid="{A3931169-2742-42EC-AE54-BCEC4115CFFA}">
          <x14:formula1>
            <xm:f>Reference3!$A$24:$A$25</xm:f>
          </x14:formula1>
          <xm:sqref>H22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StartDate xmlns="http://schemas.microsoft.com/sharepoint/v3" xsi:nil="true"/>
    <TaxCatchAll xmlns="f08ec9a6-b51a-4c00-ad15-c2c879b888f0" xsi:nil="true"/>
    <PublishingExpirationDate xmlns="http://schemas.microsoft.com/sharepoint/v3" xsi:nil="true"/>
    <_ip_UnifiedCompliancePolicyUIAction xmlns="http://schemas.microsoft.com/sharepoint/v3" xsi:nil="true"/>
    <_ip_UnifiedCompliancePolicyProperties xmlns="http://schemas.microsoft.com/sharepoint/v3" xsi:nil="true"/>
    <lcf76f155ced4ddcb4097134ff3c332f xmlns="51c3ad18-187b-4910-9c69-38f03319bd4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05DB430C76E914F9E34D8D392115682" ma:contentTypeVersion="" ma:contentTypeDescription="Create a new document." ma:contentTypeScope="" ma:versionID="ce374d54c76c9668c636bb44ae2b43c9">
  <xsd:schema xmlns:xsd="http://www.w3.org/2001/XMLSchema" xmlns:xs="http://www.w3.org/2001/XMLSchema" xmlns:p="http://schemas.microsoft.com/office/2006/metadata/properties" xmlns:ns1="http://schemas.microsoft.com/sharepoint/v3" xmlns:ns2="51c3ad18-187b-4910-9c69-38f03319bd47" xmlns:ns3="8a2675fb-3ebe-4fae-84d3-1a30957d43e5" xmlns:ns4="f08ec9a6-b51a-4c00-ad15-c2c879b888f0" targetNamespace="http://schemas.microsoft.com/office/2006/metadata/properties" ma:root="true" ma:fieldsID="afcd2b8f70708cb5721875a928aa6f6b" ns1:_="" ns2:_="" ns3:_="" ns4:_="">
    <xsd:import namespace="http://schemas.microsoft.com/sharepoint/v3"/>
    <xsd:import namespace="51c3ad18-187b-4910-9c69-38f03319bd47"/>
    <xsd:import namespace="8a2675fb-3ebe-4fae-84d3-1a30957d43e5"/>
    <xsd:import namespace="f08ec9a6-b51a-4c00-ad15-c2c879b888f0"/>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4:TaxCatchAll" minOccurs="0"/>
                <xsd:element ref="ns2:MediaServiceGenerationTime" minOccurs="0"/>
                <xsd:element ref="ns2:MediaServiceEventHashCode" minOccurs="0"/>
                <xsd:element ref="ns2:MediaServiceLocation" minOccurs="0"/>
                <xsd:element ref="ns2:MediaServiceOCR"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1c3ad18-187b-4910-9c69-38f03319bd4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86030b31-b262-4dfa-bb64-35cfdf7b07c2" ma:termSetId="09814cd3-568e-fe90-9814-8d621ff8fb84" ma:anchorId="fba54fb3-c3e1-fe81-a776-ca4b69148c4d" ma:open="true" ma:isKeyword="false">
      <xsd:complexType>
        <xsd:sequence>
          <xsd:element ref="pc:Terms" minOccurs="0" maxOccurs="1"/>
        </xsd:sequence>
      </xsd:complex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a2675fb-3ebe-4fae-84d3-1a30957d43e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08ec9a6-b51a-4c00-ad15-c2c879b888f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f1cbb372-83b4-4975-ae2a-fd32a66bfecb}" ma:internalName="TaxCatchAll" ma:showField="CatchAllData" ma:web="f08ec9a6-b51a-4c00-ad15-c2c879b888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916396-339A-44A5-97B2-F3ABE0391F80}">
  <ds:schemaRefs>
    <ds:schemaRef ds:uri="http://schemas.microsoft.com/office/2006/metadata/properties"/>
    <ds:schemaRef ds:uri="http://schemas.microsoft.com/office/infopath/2007/PartnerControls"/>
    <ds:schemaRef ds:uri="http://schemas.microsoft.com/sharepoint/v3"/>
    <ds:schemaRef ds:uri="7a6618c8-ba3f-4bbd-bcb3-ed38dcdb870f"/>
    <ds:schemaRef ds:uri="f08ec9a6-b51a-4c00-ad15-c2c879b888f0"/>
    <ds:schemaRef ds:uri="http://schemas.microsoft.com/sharepoint/v4"/>
    <ds:schemaRef ds:uri="51c3ad18-187b-4910-9c69-38f03319bd47"/>
  </ds:schemaRefs>
</ds:datastoreItem>
</file>

<file path=customXml/itemProps2.xml><?xml version="1.0" encoding="utf-8"?>
<ds:datastoreItem xmlns:ds="http://schemas.openxmlformats.org/officeDocument/2006/customXml" ds:itemID="{99C09C66-C92E-4BFE-882A-515165974F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1c3ad18-187b-4910-9c69-38f03319bd47"/>
    <ds:schemaRef ds:uri="8a2675fb-3ebe-4fae-84d3-1a30957d43e5"/>
    <ds:schemaRef ds:uri="f08ec9a6-b51a-4c00-ad15-c2c879b88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5D9557-65A3-4577-AA0D-862849DAE1FE}">
  <ds:schemaRefs>
    <ds:schemaRef ds:uri="http://schemas.microsoft.com/sharepoint/v3/contenttype/forms"/>
  </ds:schemaRefs>
</ds:datastoreItem>
</file>

<file path=docMetadata/LabelInfo.xml><?xml version="1.0" encoding="utf-8"?>
<clbl:labelList xmlns:clbl="http://schemas.microsoft.com/office/2020/mipLabelMetadata">
  <clbl:label id="{543eaf7b-7e0d-4076-a34d-1fc8cc20e5bb}" enabled="0" method="" siteId="{543eaf7b-7e0d-4076-a34d-1fc8cc20e5b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5</vt:i4>
      </vt:variant>
    </vt:vector>
  </HeadingPairs>
  <TitlesOfParts>
    <vt:vector size="28" baseType="lpstr">
      <vt:lpstr>About</vt:lpstr>
      <vt:lpstr>Revision</vt:lpstr>
      <vt:lpstr>Instructions &amp; Info</vt:lpstr>
      <vt:lpstr>Notes</vt:lpstr>
      <vt:lpstr>Property Information</vt:lpstr>
      <vt:lpstr>Existing Systems and Loads</vt:lpstr>
      <vt:lpstr>Electrification Upgrades</vt:lpstr>
      <vt:lpstr>Panel Impacts and Rec's.</vt:lpstr>
      <vt:lpstr>Opt. 1 - Low-Power Appliances</vt:lpstr>
      <vt:lpstr>Opt. 2 - Right-Size HVAC</vt:lpstr>
      <vt:lpstr>Opt. 3 - Load Mgmt</vt:lpstr>
      <vt:lpstr>Panel Load - Baseline</vt:lpstr>
      <vt:lpstr>Panel Load - Goal</vt:lpstr>
      <vt:lpstr>Panel Load - Opt1</vt:lpstr>
      <vt:lpstr>Panel Load - Opt2</vt:lpstr>
      <vt:lpstr>Panel Load - Opt3a</vt:lpstr>
      <vt:lpstr>Panel Load - Opt3b</vt:lpstr>
      <vt:lpstr>Panel Load - Opt3c</vt:lpstr>
      <vt:lpstr>Reference</vt:lpstr>
      <vt:lpstr>Reference2</vt:lpstr>
      <vt:lpstr>Reference3</vt:lpstr>
      <vt:lpstr>Panel Calc Resources</vt:lpstr>
      <vt:lpstr>Sheet1</vt:lpstr>
      <vt:lpstr>BasePanel</vt:lpstr>
      <vt:lpstr>ElectHVAC</vt:lpstr>
      <vt:lpstr>ElectLM</vt:lpstr>
      <vt:lpstr>ElectLPA</vt:lpstr>
      <vt:lpstr>ElectNewPanel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Gupta, Rohan</dc:creator>
  <cp:keywords/>
  <dc:description/>
  <cp:lastModifiedBy>Gupta, Rohan</cp:lastModifiedBy>
  <cp:revision/>
  <dcterms:created xsi:type="dcterms:W3CDTF">2024-01-31T00:21:10Z</dcterms:created>
  <dcterms:modified xsi:type="dcterms:W3CDTF">2026-04-06T16:54:24Z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0x010100B05DB430C76E914F9E34D8D392115682</vt:lpwstr>
  </property>
</Properties>
</file>